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01"/>
  <workbookPr codeName="EsteLibro"/>
  <mc:AlternateContent xmlns:mc="http://schemas.openxmlformats.org/markup-compatibility/2006">
    <mc:Choice Requires="x15">
      <x15ac:absPath xmlns:x15ac="http://schemas.microsoft.com/office/spreadsheetml/2010/11/ac" url="R:\5.Serv Consultoria\220328 Apoyo a programa fortalecimiento organizaciones( PLENA INCLUSION)\1.Execución\1. Gestión Presupuestaria\Formación\"/>
    </mc:Choice>
  </mc:AlternateContent>
  <xr:revisionPtr revIDLastSave="0" documentId="13_ncr:1_{54FE1FC5-00BC-4175-BF7A-D6FB53866C51}" xr6:coauthVersionLast="47" xr6:coauthVersionMax="47" xr10:uidLastSave="{00000000-0000-0000-0000-000000000000}"/>
  <bookViews>
    <workbookView xWindow="1275" yWindow="1575" windowWidth="9075" windowHeight="4650" tabRatio="850" xr2:uid="{00000000-000D-0000-FFFF-FFFF00000000}"/>
  </bookViews>
  <sheets>
    <sheet name="Total General" sheetId="48" r:id="rId1"/>
    <sheet name="Centro 1" sheetId="51" r:id="rId2"/>
    <sheet name="Centro 2" sheetId="50" r:id="rId3"/>
    <sheet name="Centro 3" sheetId="49" r:id="rId4"/>
    <sheet name="Centro 4" sheetId="47" r:id="rId5"/>
    <sheet name="Centro 5" sheetId="53" r:id="rId6"/>
    <sheet name="Gastos de Persoal" sheetId="59" r:id="rId7"/>
    <sheet name="Amort-Sub K" sheetId="14" r:id="rId8"/>
    <sheet name="Anexo Ingresos" sheetId="15" r:id="rId9"/>
    <sheet name="Anexo Ingresos II" sheetId="56" r:id="rId10"/>
    <sheet name="Comentarios Ingresos" sheetId="20" r:id="rId11"/>
    <sheet name="Anexo Gastos " sheetId="37" r:id="rId12"/>
    <sheet name="Comentarios Gastos" sheetId="36" r:id="rId13"/>
    <sheet name="I-G OCT" sheetId="62" r:id="rId14"/>
    <sheet name="Tablas Imputación" sheetId="19" r:id="rId15"/>
    <sheet name="Taboa Dat. " sheetId="58" r:id="rId16"/>
    <sheet name="Pto 15.1.2 Memoria Asociaciones" sheetId="44" r:id="rId17"/>
    <sheet name="Hoja10" sheetId="21" r:id="rId18"/>
  </sheets>
  <definedNames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0">#REF!</definedName>
    <definedName name="\A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 localSheetId="5">#REF!</definedName>
    <definedName name="\B" localSheetId="0">#REF!</definedName>
    <definedName name="\B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0">#REF!</definedName>
    <definedName name="\C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 localSheetId="0">#REF!</definedName>
    <definedName name="\D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 localSheetId="0">#REF!</definedName>
    <definedName name="\E">#REF!</definedName>
    <definedName name="\F" localSheetId="1">#REF!</definedName>
    <definedName name="\F" localSheetId="2">#REF!</definedName>
    <definedName name="\F" localSheetId="3">#REF!</definedName>
    <definedName name="\F" localSheetId="4">#REF!</definedName>
    <definedName name="\F" localSheetId="5">#REF!</definedName>
    <definedName name="\F" localSheetId="0">#REF!</definedName>
    <definedName name="\F">#REF!</definedName>
    <definedName name="\G" localSheetId="1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0">#REF!</definedName>
    <definedName name="\G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 localSheetId="0">#REF!</definedName>
    <definedName name="\H">#REF!</definedName>
    <definedName name="\I" localSheetId="1">#REF!</definedName>
    <definedName name="\I" localSheetId="2">#REF!</definedName>
    <definedName name="\I" localSheetId="3">#REF!</definedName>
    <definedName name="\I" localSheetId="4">#REF!</definedName>
    <definedName name="\I" localSheetId="5">#REF!</definedName>
    <definedName name="\I" localSheetId="0">#REF!</definedName>
    <definedName name="\I">#REF!</definedName>
    <definedName name="\J" localSheetId="1">#REF!</definedName>
    <definedName name="\J" localSheetId="2">#REF!</definedName>
    <definedName name="\J" localSheetId="3">#REF!</definedName>
    <definedName name="\J" localSheetId="4">#REF!</definedName>
    <definedName name="\J" localSheetId="5">#REF!</definedName>
    <definedName name="\J" localSheetId="0">#REF!</definedName>
    <definedName name="\J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 localSheetId="0">#REF!</definedName>
    <definedName name="\K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 localSheetId="0">#REF!</definedName>
    <definedName name="\L">#REF!</definedName>
    <definedName name="_xlnm._FilterDatabase" localSheetId="7" hidden="1">'Amort-Sub K'!$A$13:$T$246</definedName>
    <definedName name="_xlnm._FilterDatabase" localSheetId="9" hidden="1">'Anexo Ingresos II'!$A$5:$N$20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0">#REF!</definedName>
    <definedName name="a">#REF!</definedName>
    <definedName name="ANTERYACT" localSheetId="1">#REF!</definedName>
    <definedName name="ANTERYACT" localSheetId="2">#REF!</definedName>
    <definedName name="ANTERYACT" localSheetId="3">#REF!</definedName>
    <definedName name="ANTERYACT" localSheetId="4">#REF!</definedName>
    <definedName name="ANTERYACT" localSheetId="5">#REF!</definedName>
    <definedName name="ANTERYACT" localSheetId="0">#REF!</definedName>
    <definedName name="ANTERYACT">#REF!</definedName>
    <definedName name="_xlnm.Print_Area" localSheetId="7">'Amort-Sub K'!$A$1:$N$247</definedName>
    <definedName name="_xlnm.Print_Area" localSheetId="6">'Gastos de Persoal'!$A$1:$R$171</definedName>
    <definedName name="_xlnm.Print_Area" localSheetId="13">'I-G OCT'!$A$1:$H$200</definedName>
    <definedName name="_xlnm.Print_Area" localSheetId="15">'Taboa Dat. '!$A$1:$E$41</definedName>
    <definedName name="COMPARA" localSheetId="1">#REF!</definedName>
    <definedName name="COMPARA" localSheetId="2">#REF!</definedName>
    <definedName name="COMPARA" localSheetId="3">#REF!</definedName>
    <definedName name="COMPARA" localSheetId="4">#REF!</definedName>
    <definedName name="COMPARA" localSheetId="5">#REF!</definedName>
    <definedName name="COMPARA" localSheetId="0">#REF!</definedName>
    <definedName name="COMPARA">#REF!</definedName>
    <definedName name="COMPARATIVO" localSheetId="1">#REF!</definedName>
    <definedName name="COMPARATIVO" localSheetId="2">#REF!</definedName>
    <definedName name="COMPARATIVO" localSheetId="3">#REF!</definedName>
    <definedName name="COMPARATIVO" localSheetId="4">#REF!</definedName>
    <definedName name="COMPARATIVO" localSheetId="5">#REF!</definedName>
    <definedName name="COMPARATIVO" localSheetId="0">#REF!</definedName>
    <definedName name="COMPARATIVO">#REF!</definedName>
    <definedName name="COMPRESUP" localSheetId="1">#REF!</definedName>
    <definedName name="COMPRESUP" localSheetId="2">#REF!</definedName>
    <definedName name="COMPRESUP" localSheetId="3">#REF!</definedName>
    <definedName name="COMPRESUP" localSheetId="4">#REF!</definedName>
    <definedName name="COMPRESUP" localSheetId="5">#REF!</definedName>
    <definedName name="COMPRESUP" localSheetId="0">#REF!</definedName>
    <definedName name="COMPRESUP">#REF!</definedName>
    <definedName name="CONTRATOS" localSheetId="1">#REF!</definedName>
    <definedName name="CONTRATOS" localSheetId="2">#REF!</definedName>
    <definedName name="CONTRATOS" localSheetId="3">#REF!</definedName>
    <definedName name="CONTRATOS" localSheetId="4">#REF!</definedName>
    <definedName name="CONTRATOS" localSheetId="5">#REF!</definedName>
    <definedName name="CONTRATOS" localSheetId="0">#REF!</definedName>
    <definedName name="CONTRATOS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0">#REF!</definedName>
    <definedName name="d">#REF!</definedName>
    <definedName name="DETALPRES" localSheetId="1">#REF!</definedName>
    <definedName name="DETALPRES" localSheetId="2">#REF!</definedName>
    <definedName name="DETALPRES" localSheetId="3">#REF!</definedName>
    <definedName name="DETALPRES" localSheetId="4">#REF!</definedName>
    <definedName name="DETALPRES" localSheetId="5">#REF!</definedName>
    <definedName name="DETALPRES" localSheetId="0">#REF!</definedName>
    <definedName name="DETALPRES">#REF!</definedName>
    <definedName name="fddf" localSheetId="1">#REF!</definedName>
    <definedName name="fddf" localSheetId="2">#REF!</definedName>
    <definedName name="fddf" localSheetId="3">#REF!</definedName>
    <definedName name="fddf" localSheetId="4">#REF!</definedName>
    <definedName name="fddf" localSheetId="5">#REF!</definedName>
    <definedName name="fddf" localSheetId="0">#REF!</definedName>
    <definedName name="fddf">#REF!</definedName>
    <definedName name="IMAGEN" localSheetId="1">#REF!</definedName>
    <definedName name="IMAGEN" localSheetId="2">#REF!</definedName>
    <definedName name="IMAGEN" localSheetId="3">#REF!</definedName>
    <definedName name="IMAGEN" localSheetId="4">#REF!</definedName>
    <definedName name="IMAGEN" localSheetId="5">#REF!</definedName>
    <definedName name="IMAGEN" localSheetId="0">#REF!</definedName>
    <definedName name="IMAGEN">#REF!</definedName>
    <definedName name="pepito" localSheetId="1">#REF!</definedName>
    <definedName name="pepito" localSheetId="2">#REF!</definedName>
    <definedName name="pepito" localSheetId="3">#REF!</definedName>
    <definedName name="pepito" localSheetId="4">#REF!</definedName>
    <definedName name="pepito" localSheetId="5">#REF!</definedName>
    <definedName name="pepito" localSheetId="0">#REF!</definedName>
    <definedName name="pepito">#REF!</definedName>
    <definedName name="PRESEJERC" localSheetId="1">#REF!</definedName>
    <definedName name="PRESEJERC" localSheetId="2">#REF!</definedName>
    <definedName name="PRESEJERC" localSheetId="3">#REF!</definedName>
    <definedName name="PRESEJERC" localSheetId="4">#REF!</definedName>
    <definedName name="PRESEJERC" localSheetId="5">#REF!</definedName>
    <definedName name="PRESEJERC" localSheetId="0">#REF!</definedName>
    <definedName name="PRESEJERC">#REF!</definedName>
    <definedName name="PROVEEDORES" localSheetId="1">#REF!</definedName>
    <definedName name="PROVEEDORES" localSheetId="2">#REF!</definedName>
    <definedName name="PROVEEDORES" localSheetId="3">#REF!</definedName>
    <definedName name="PROVEEDORES" localSheetId="4">#REF!</definedName>
    <definedName name="PROVEEDORES" localSheetId="5">#REF!</definedName>
    <definedName name="PROVEEDORES" localSheetId="0">#REF!</definedName>
    <definedName name="PROVEEDORES">#REF!</definedName>
    <definedName name="REALIZPRESUP" localSheetId="1">#REF!</definedName>
    <definedName name="REALIZPRESUP" localSheetId="2">#REF!</definedName>
    <definedName name="REALIZPRESUP" localSheetId="3">#REF!</definedName>
    <definedName name="REALIZPRESUP" localSheetId="4">#REF!</definedName>
    <definedName name="REALIZPRESUP" localSheetId="5">#REF!</definedName>
    <definedName name="REALIZPRESUP" localSheetId="0">#REF!</definedName>
    <definedName name="REALIZPRESUP">#REF!</definedName>
    <definedName name="VEHICULOS" localSheetId="1">#REF!</definedName>
    <definedName name="VEHICULOS" localSheetId="2">#REF!</definedName>
    <definedName name="VEHICULOS" localSheetId="3">#REF!</definedName>
    <definedName name="VEHICULOS" localSheetId="4">#REF!</definedName>
    <definedName name="VEHICULOS" localSheetId="5">#REF!</definedName>
    <definedName name="VEHICULOS" localSheetId="0">#REF!</definedName>
    <definedName name="VEHICULO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8" i="59" l="1"/>
  <c r="L142" i="59"/>
  <c r="L143" i="59"/>
  <c r="L144" i="59"/>
  <c r="L145" i="59"/>
  <c r="L146" i="59"/>
  <c r="L147" i="59"/>
  <c r="L12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L78" i="59"/>
  <c r="L79" i="59"/>
  <c r="L93" i="59"/>
  <c r="K94" i="59"/>
  <c r="K95" i="59"/>
  <c r="K96" i="59"/>
  <c r="K93" i="59"/>
  <c r="K7" i="59"/>
  <c r="K8" i="59"/>
  <c r="K9" i="59"/>
  <c r="K10" i="59"/>
  <c r="K11" i="59"/>
  <c r="K12" i="59"/>
  <c r="K13" i="59"/>
  <c r="K14" i="59"/>
  <c r="K15" i="59"/>
  <c r="K16" i="59"/>
  <c r="K17" i="59"/>
  <c r="K18" i="59"/>
  <c r="K19" i="59"/>
  <c r="K20" i="59"/>
  <c r="K21" i="59"/>
  <c r="K22" i="59"/>
  <c r="K23" i="59"/>
  <c r="K24" i="59"/>
  <c r="K25" i="59"/>
  <c r="K26" i="59"/>
  <c r="K27" i="59"/>
  <c r="K28" i="59"/>
  <c r="K29" i="59"/>
  <c r="K30" i="59"/>
  <c r="K31" i="59"/>
  <c r="K32" i="59"/>
  <c r="K33" i="59"/>
  <c r="K34" i="59"/>
  <c r="K35" i="59"/>
  <c r="K36" i="59"/>
  <c r="K37" i="59"/>
  <c r="K38" i="59"/>
  <c r="K39" i="59"/>
  <c r="K6" i="59"/>
  <c r="K50" i="59"/>
  <c r="K51" i="59"/>
  <c r="K52" i="59"/>
  <c r="K53" i="59"/>
  <c r="K54" i="59"/>
  <c r="K55" i="59"/>
  <c r="K56" i="59"/>
  <c r="K57" i="59"/>
  <c r="K58" i="59"/>
  <c r="K59" i="59"/>
  <c r="K60" i="59"/>
  <c r="K61" i="59"/>
  <c r="K62" i="59"/>
  <c r="K63" i="59"/>
  <c r="K64" i="59"/>
  <c r="K65" i="59"/>
  <c r="K49" i="59"/>
  <c r="L58" i="59"/>
  <c r="L59" i="59"/>
  <c r="L60" i="59"/>
  <c r="L61" i="59"/>
  <c r="L62" i="59"/>
  <c r="L63" i="59"/>
  <c r="L64" i="59"/>
  <c r="L65" i="59"/>
  <c r="J55" i="59"/>
  <c r="L33" i="59"/>
  <c r="L34" i="59"/>
  <c r="L35" i="59"/>
  <c r="L36" i="59"/>
  <c r="L37" i="59"/>
  <c r="L38" i="59"/>
  <c r="K41" i="15"/>
  <c r="K44" i="15"/>
  <c r="I44" i="15"/>
  <c r="K42" i="15"/>
  <c r="I42" i="15"/>
  <c r="M80" i="37"/>
  <c r="M186" i="37"/>
  <c r="M185" i="37"/>
  <c r="D185" i="37" s="1"/>
  <c r="M184" i="37"/>
  <c r="M183" i="37"/>
  <c r="D183" i="37" s="1"/>
  <c r="M154" i="37"/>
  <c r="D154" i="37" s="1"/>
  <c r="M155" i="37"/>
  <c r="H155" i="37" s="1"/>
  <c r="M156" i="37"/>
  <c r="M157" i="37"/>
  <c r="M158" i="37"/>
  <c r="M159" i="37"/>
  <c r="M160" i="37"/>
  <c r="M161" i="37"/>
  <c r="M107" i="37"/>
  <c r="M108" i="37"/>
  <c r="M109" i="37"/>
  <c r="M110" i="37"/>
  <c r="M71" i="37"/>
  <c r="M56" i="37"/>
  <c r="E130" i="62"/>
  <c r="F130" i="62"/>
  <c r="E143" i="62"/>
  <c r="F143" i="62"/>
  <c r="J71" i="37" l="1"/>
  <c r="H71" i="37"/>
  <c r="F71" i="37"/>
  <c r="D71" i="37"/>
  <c r="D110" i="37"/>
  <c r="J110" i="37"/>
  <c r="H110" i="37"/>
  <c r="F110" i="37"/>
  <c r="D109" i="37"/>
  <c r="J109" i="37"/>
  <c r="H109" i="37"/>
  <c r="F109" i="37"/>
  <c r="D108" i="37"/>
  <c r="J108" i="37"/>
  <c r="H108" i="37"/>
  <c r="F108" i="37"/>
  <c r="D107" i="37"/>
  <c r="J107" i="37"/>
  <c r="H107" i="37"/>
  <c r="F107" i="37"/>
  <c r="D161" i="37"/>
  <c r="F161" i="37"/>
  <c r="H161" i="37"/>
  <c r="J161" i="37"/>
  <c r="L161" i="37"/>
  <c r="F160" i="37"/>
  <c r="H160" i="37"/>
  <c r="J160" i="37"/>
  <c r="L160" i="37"/>
  <c r="J159" i="37"/>
  <c r="D159" i="37"/>
  <c r="F159" i="37"/>
  <c r="H159" i="37"/>
  <c r="D158" i="37"/>
  <c r="F158" i="37"/>
  <c r="H158" i="37"/>
  <c r="J158" i="37"/>
  <c r="L158" i="37"/>
  <c r="D157" i="37"/>
  <c r="H157" i="37"/>
  <c r="J157" i="37"/>
  <c r="L157" i="37"/>
  <c r="L156" i="37"/>
  <c r="D156" i="37"/>
  <c r="F156" i="37"/>
  <c r="H156" i="37"/>
  <c r="J156" i="37"/>
  <c r="D184" i="37"/>
  <c r="F184" i="37"/>
  <c r="H184" i="37"/>
  <c r="J184" i="37"/>
  <c r="J185" i="37"/>
  <c r="F185" i="37"/>
  <c r="J183" i="37"/>
  <c r="H183" i="37"/>
  <c r="H185" i="37"/>
  <c r="F183" i="37"/>
  <c r="J154" i="37"/>
  <c r="D155" i="37"/>
  <c r="L154" i="37"/>
  <c r="D160" i="37"/>
  <c r="F157" i="37"/>
  <c r="H154" i="37"/>
  <c r="F155" i="37"/>
  <c r="L159" i="37"/>
  <c r="F154" i="37"/>
  <c r="L155" i="37"/>
  <c r="J155" i="37"/>
  <c r="M35" i="37" l="1"/>
  <c r="K147" i="59"/>
  <c r="J147" i="59"/>
  <c r="K115" i="59"/>
  <c r="J115" i="59"/>
  <c r="K79" i="59"/>
  <c r="J79" i="59"/>
  <c r="M131" i="37" l="1"/>
  <c r="B75" i="53" l="1"/>
  <c r="F75" i="53"/>
  <c r="B76" i="53"/>
  <c r="F76" i="53"/>
  <c r="B75" i="47"/>
  <c r="B76" i="47"/>
  <c r="B75" i="49"/>
  <c r="B76" i="49"/>
  <c r="B76" i="50"/>
  <c r="B77" i="50"/>
  <c r="F75" i="51"/>
  <c r="B75" i="51"/>
  <c r="B76" i="51"/>
  <c r="Q165" i="59"/>
  <c r="O165" i="59"/>
  <c r="Q131" i="59"/>
  <c r="Q120" i="59"/>
  <c r="Q99" i="59"/>
  <c r="Q89" i="59"/>
  <c r="O45" i="59"/>
  <c r="M46" i="37"/>
  <c r="M9" i="37"/>
  <c r="M10" i="37"/>
  <c r="M11" i="37"/>
  <c r="K257" i="37"/>
  <c r="K199" i="37"/>
  <c r="I199" i="37"/>
  <c r="G199" i="37"/>
  <c r="E199" i="37"/>
  <c r="K189" i="37"/>
  <c r="K146" i="37"/>
  <c r="K123" i="37"/>
  <c r="K85" i="37"/>
  <c r="K73" i="37"/>
  <c r="K61" i="37"/>
  <c r="K37" i="37"/>
  <c r="K24" i="37"/>
  <c r="I24" i="37"/>
  <c r="G24" i="37"/>
  <c r="T7" i="14" l="1"/>
  <c r="L7" i="14"/>
  <c r="M74" i="15"/>
  <c r="M73" i="15"/>
  <c r="M76" i="15"/>
  <c r="M77" i="15"/>
  <c r="K78" i="15"/>
  <c r="I78" i="15"/>
  <c r="G78" i="15"/>
  <c r="E78" i="15"/>
  <c r="M69" i="15"/>
  <c r="M64" i="15"/>
  <c r="M65" i="15"/>
  <c r="K70" i="15"/>
  <c r="C87" i="15"/>
  <c r="E87" i="15"/>
  <c r="G87" i="15"/>
  <c r="I87" i="15"/>
  <c r="F6" i="56"/>
  <c r="M86" i="15"/>
  <c r="M107" i="15"/>
  <c r="M108" i="15"/>
  <c r="M109" i="15"/>
  <c r="M110" i="15"/>
  <c r="M111" i="15"/>
  <c r="M112" i="15"/>
  <c r="M113" i="15"/>
  <c r="M114" i="15"/>
  <c r="K115" i="15"/>
  <c r="I115" i="15"/>
  <c r="G115" i="15"/>
  <c r="E115" i="15"/>
  <c r="C115" i="15"/>
  <c r="K87" i="15" l="1"/>
  <c r="F108" i="56" l="1"/>
  <c r="F107" i="56"/>
  <c r="F106" i="56"/>
  <c r="F105" i="56"/>
  <c r="F104" i="56"/>
  <c r="F103" i="56"/>
  <c r="F102" i="56"/>
  <c r="F101" i="56"/>
  <c r="F100" i="56"/>
  <c r="F99" i="56"/>
  <c r="F98" i="56"/>
  <c r="F97" i="56"/>
  <c r="F96" i="56"/>
  <c r="F95" i="56"/>
  <c r="F94" i="56"/>
  <c r="F93" i="56"/>
  <c r="F92" i="56"/>
  <c r="F91" i="56"/>
  <c r="F90" i="56"/>
  <c r="F89" i="56"/>
  <c r="F88" i="56"/>
  <c r="F87" i="56"/>
  <c r="F86" i="56"/>
  <c r="F85" i="56"/>
  <c r="F84" i="56"/>
  <c r="F83" i="56"/>
  <c r="F82" i="56"/>
  <c r="F81" i="56"/>
  <c r="F74" i="56"/>
  <c r="F73" i="56"/>
  <c r="F72" i="56"/>
  <c r="F71" i="56"/>
  <c r="F70" i="56"/>
  <c r="F69" i="56"/>
  <c r="F68" i="56"/>
  <c r="F67" i="56"/>
  <c r="F66" i="56"/>
  <c r="F65" i="56"/>
  <c r="F64" i="56"/>
  <c r="F63" i="56"/>
  <c r="F62" i="56"/>
  <c r="F61" i="56"/>
  <c r="F60" i="56"/>
  <c r="F59" i="56"/>
  <c r="F58" i="56"/>
  <c r="F57" i="56"/>
  <c r="F56" i="56"/>
  <c r="F55" i="56"/>
  <c r="F54" i="56"/>
  <c r="F53" i="56"/>
  <c r="F52" i="56"/>
  <c r="F51" i="56"/>
  <c r="F43" i="56"/>
  <c r="F42" i="56"/>
  <c r="F41" i="56"/>
  <c r="F40" i="56"/>
  <c r="F39" i="56"/>
  <c r="F38" i="56"/>
  <c r="F37" i="56"/>
  <c r="F36" i="56"/>
  <c r="F35" i="56"/>
  <c r="F34" i="56"/>
  <c r="F33" i="56"/>
  <c r="F32" i="56"/>
  <c r="F31" i="56"/>
  <c r="F30" i="56"/>
  <c r="F29" i="56"/>
  <c r="F28" i="56"/>
  <c r="F27" i="56"/>
  <c r="F7" i="56"/>
  <c r="G30" i="56"/>
  <c r="F109" i="56" l="1"/>
  <c r="I43" i="15" s="1"/>
  <c r="F75" i="56"/>
  <c r="I45" i="15" s="1"/>
  <c r="F44" i="56"/>
  <c r="G34" i="56"/>
  <c r="G42" i="56"/>
  <c r="G28" i="56"/>
  <c r="G38" i="56"/>
  <c r="G36" i="56"/>
  <c r="G40" i="56"/>
  <c r="G86" i="56"/>
  <c r="G92" i="56"/>
  <c r="G98" i="56"/>
  <c r="G104" i="56"/>
  <c r="G69" i="56"/>
  <c r="G51" i="56"/>
  <c r="G74" i="56"/>
  <c r="G72" i="56"/>
  <c r="G70" i="56"/>
  <c r="G68" i="56"/>
  <c r="G66" i="56"/>
  <c r="G64" i="56"/>
  <c r="G62" i="56"/>
  <c r="G60" i="56"/>
  <c r="G58" i="56"/>
  <c r="G56" i="56"/>
  <c r="G54" i="56"/>
  <c r="G52" i="56"/>
  <c r="G107" i="56"/>
  <c r="G105" i="56"/>
  <c r="G103" i="56"/>
  <c r="G101" i="56"/>
  <c r="G99" i="56"/>
  <c r="G97" i="56"/>
  <c r="G95" i="56"/>
  <c r="G93" i="56"/>
  <c r="G91" i="56"/>
  <c r="G89" i="56"/>
  <c r="G87" i="56"/>
  <c r="G85" i="56"/>
  <c r="G83" i="56"/>
  <c r="G81" i="56"/>
  <c r="G43" i="56"/>
  <c r="G41" i="56"/>
  <c r="G39" i="56"/>
  <c r="G37" i="56"/>
  <c r="G35" i="56"/>
  <c r="G33" i="56"/>
  <c r="G31" i="56"/>
  <c r="G29" i="56"/>
  <c r="G27" i="56"/>
  <c r="G73" i="56"/>
  <c r="G71" i="56"/>
  <c r="G67" i="56"/>
  <c r="G65" i="56"/>
  <c r="G63" i="56"/>
  <c r="G61" i="56"/>
  <c r="G59" i="56"/>
  <c r="G57" i="56"/>
  <c r="G55" i="56"/>
  <c r="G53" i="56"/>
  <c r="G84" i="56"/>
  <c r="G90" i="56"/>
  <c r="G96" i="56"/>
  <c r="G102" i="56"/>
  <c r="G108" i="56"/>
  <c r="G82" i="56"/>
  <c r="G88" i="56"/>
  <c r="G94" i="56"/>
  <c r="G100" i="56"/>
  <c r="G106" i="56"/>
  <c r="G32" i="56"/>
  <c r="M21" i="15"/>
  <c r="M22" i="15"/>
  <c r="M23" i="15"/>
  <c r="I24" i="15"/>
  <c r="G24" i="15"/>
  <c r="M19" i="15"/>
  <c r="E24" i="15"/>
  <c r="C24" i="15"/>
  <c r="M7" i="15"/>
  <c r="M8" i="15"/>
  <c r="M9" i="15"/>
  <c r="M10" i="15"/>
  <c r="K11" i="15"/>
  <c r="I11" i="15"/>
  <c r="G11" i="15"/>
  <c r="E11" i="15"/>
  <c r="K24" i="15" l="1"/>
  <c r="G44" i="56"/>
  <c r="F10" i="56"/>
  <c r="F8" i="56"/>
  <c r="G109" i="56"/>
  <c r="K43" i="15" s="1"/>
  <c r="G75" i="56"/>
  <c r="K45" i="15" s="1"/>
  <c r="F9" i="56"/>
  <c r="I41" i="15"/>
  <c r="G6" i="56"/>
  <c r="M20" i="15"/>
  <c r="G7" i="56"/>
  <c r="F11" i="56"/>
  <c r="G8" i="56" l="1"/>
  <c r="F12" i="56"/>
  <c r="G9" i="56" l="1"/>
  <c r="F13" i="56"/>
  <c r="F14" i="56" l="1"/>
  <c r="G10" i="56"/>
  <c r="F15" i="56" l="1"/>
  <c r="G11" i="56"/>
  <c r="G12" i="56" l="1"/>
  <c r="F16" i="56"/>
  <c r="F17" i="56" l="1"/>
  <c r="G13" i="56"/>
  <c r="G14" i="56" l="1"/>
  <c r="F18" i="56"/>
  <c r="F19" i="56" l="1"/>
  <c r="G15" i="56"/>
  <c r="G16" i="56" l="1"/>
  <c r="G17" i="56" l="1"/>
  <c r="S148" i="59"/>
  <c r="S150" i="59"/>
  <c r="K150" i="59"/>
  <c r="J150" i="59"/>
  <c r="S149" i="59"/>
  <c r="K149" i="59"/>
  <c r="J149" i="59"/>
  <c r="S117" i="59"/>
  <c r="K117" i="59"/>
  <c r="J117" i="59"/>
  <c r="S116" i="59"/>
  <c r="K116" i="59"/>
  <c r="J116" i="59"/>
  <c r="S80" i="59"/>
  <c r="S81" i="59"/>
  <c r="J80" i="59"/>
  <c r="K80" i="59"/>
  <c r="J81" i="59"/>
  <c r="K81" i="59"/>
  <c r="J40" i="59"/>
  <c r="K40" i="59"/>
  <c r="G18" i="56" l="1"/>
  <c r="O154" i="59"/>
  <c r="O131" i="59"/>
  <c r="O120" i="59"/>
  <c r="O99" i="59"/>
  <c r="O89" i="59"/>
  <c r="O66" i="59"/>
  <c r="O168" i="59" l="1"/>
  <c r="G19" i="56"/>
  <c r="K163" i="37" l="1"/>
  <c r="M132" i="37"/>
  <c r="G134" i="37"/>
  <c r="I134" i="37"/>
  <c r="E134" i="37"/>
  <c r="I123" i="37"/>
  <c r="G123" i="37"/>
  <c r="E123" i="37"/>
  <c r="M48" i="37"/>
  <c r="K49" i="37"/>
  <c r="F76" i="49"/>
  <c r="F76" i="47"/>
  <c r="F77" i="50"/>
  <c r="F75" i="49"/>
  <c r="F75" i="47"/>
  <c r="M32" i="37"/>
  <c r="L32" i="37" s="1"/>
  <c r="E24" i="37"/>
  <c r="M34" i="37" l="1"/>
  <c r="M130" i="37"/>
  <c r="M45" i="37"/>
  <c r="C146" i="37"/>
  <c r="F76" i="51"/>
  <c r="M36" i="37"/>
  <c r="K134" i="37"/>
  <c r="E37" i="37"/>
  <c r="M33" i="37"/>
  <c r="F76" i="50"/>
  <c r="I37" i="37"/>
  <c r="G37" i="37"/>
  <c r="D48" i="37"/>
  <c r="J48" i="37"/>
  <c r="C37" i="37"/>
  <c r="K12" i="37"/>
  <c r="F195" i="62"/>
  <c r="E195" i="62"/>
  <c r="G195" i="62" s="1"/>
  <c r="G192" i="62"/>
  <c r="G193" i="62" s="1"/>
  <c r="F187" i="62"/>
  <c r="E187" i="62"/>
  <c r="G179" i="62"/>
  <c r="G180" i="62" s="1"/>
  <c r="G181" i="62" s="1"/>
  <c r="G182" i="62" s="1"/>
  <c r="G183" i="62" s="1"/>
  <c r="G184" i="62" s="1"/>
  <c r="G185" i="62" s="1"/>
  <c r="F174" i="62"/>
  <c r="E174" i="62"/>
  <c r="G167" i="62"/>
  <c r="G168" i="62" s="1"/>
  <c r="G169" i="62" s="1"/>
  <c r="G170" i="62" s="1"/>
  <c r="G171" i="62" s="1"/>
  <c r="G172" i="62" s="1"/>
  <c r="F162" i="62"/>
  <c r="E162" i="62"/>
  <c r="G162" i="62" s="1"/>
  <c r="G160" i="62"/>
  <c r="F155" i="62"/>
  <c r="E155" i="62"/>
  <c r="G148" i="62"/>
  <c r="G149" i="62" s="1"/>
  <c r="G150" i="62" s="1"/>
  <c r="G151" i="62" s="1"/>
  <c r="G152" i="62" s="1"/>
  <c r="G153" i="62" s="1"/>
  <c r="G143" i="62"/>
  <c r="G135" i="62"/>
  <c r="G136" i="62" s="1"/>
  <c r="G137" i="62" s="1"/>
  <c r="G138" i="62" s="1"/>
  <c r="G139" i="62" s="1"/>
  <c r="G140" i="62" s="1"/>
  <c r="G141" i="62" s="1"/>
  <c r="G113" i="62"/>
  <c r="G114" i="62" s="1"/>
  <c r="G115" i="62" s="1"/>
  <c r="G116" i="62" s="1"/>
  <c r="G117" i="62" s="1"/>
  <c r="G118" i="62" s="1"/>
  <c r="G119" i="62" s="1"/>
  <c r="G120" i="62" s="1"/>
  <c r="G121" i="62" s="1"/>
  <c r="G122" i="62" s="1"/>
  <c r="G123" i="62" s="1"/>
  <c r="G124" i="62" s="1"/>
  <c r="G125" i="62" s="1"/>
  <c r="G126" i="62" s="1"/>
  <c r="G127" i="62" s="1"/>
  <c r="G128" i="62" s="1"/>
  <c r="F108" i="62"/>
  <c r="E108" i="62"/>
  <c r="G103" i="62"/>
  <c r="G104" i="62" s="1"/>
  <c r="G105" i="62" s="1"/>
  <c r="G106" i="62" s="1"/>
  <c r="F98" i="62"/>
  <c r="E98" i="62"/>
  <c r="G90" i="62"/>
  <c r="G91" i="62" s="1"/>
  <c r="G92" i="62" s="1"/>
  <c r="G93" i="62" s="1"/>
  <c r="G94" i="62" s="1"/>
  <c r="G95" i="62" s="1"/>
  <c r="G96" i="62" s="1"/>
  <c r="F85" i="62"/>
  <c r="E85" i="62"/>
  <c r="G83" i="62"/>
  <c r="F78" i="62"/>
  <c r="E78" i="62"/>
  <c r="G76" i="62"/>
  <c r="F71" i="62"/>
  <c r="E71" i="62"/>
  <c r="G71" i="62" s="1"/>
  <c r="G67" i="62"/>
  <c r="G68" i="62" s="1"/>
  <c r="G69" i="62" s="1"/>
  <c r="F62" i="62"/>
  <c r="E62" i="62"/>
  <c r="G59" i="62"/>
  <c r="G60" i="62" s="1"/>
  <c r="F54" i="62"/>
  <c r="E54" i="62"/>
  <c r="G49" i="62"/>
  <c r="G50" i="62" s="1"/>
  <c r="G51" i="62" s="1"/>
  <c r="G52" i="62" s="1"/>
  <c r="F44" i="62"/>
  <c r="E44" i="62"/>
  <c r="G42" i="62"/>
  <c r="F37" i="62"/>
  <c r="E37" i="62"/>
  <c r="G28" i="62"/>
  <c r="G29" i="62" s="1"/>
  <c r="G30" i="62" s="1"/>
  <c r="G31" i="62" s="1"/>
  <c r="G32" i="62" s="1"/>
  <c r="G33" i="62" s="1"/>
  <c r="G34" i="62" s="1"/>
  <c r="G35" i="62" s="1"/>
  <c r="F23" i="62"/>
  <c r="E23" i="62"/>
  <c r="G21" i="62"/>
  <c r="F16" i="62"/>
  <c r="F17" i="62" s="1"/>
  <c r="E16" i="62"/>
  <c r="E17" i="62" s="1"/>
  <c r="G11" i="62"/>
  <c r="G12" i="62" s="1"/>
  <c r="G13" i="62" s="1"/>
  <c r="G14" i="62" s="1"/>
  <c r="G155" i="62" l="1"/>
  <c r="G62" i="62"/>
  <c r="G85" i="62"/>
  <c r="G98" i="62"/>
  <c r="G44" i="62"/>
  <c r="G23" i="62"/>
  <c r="G174" i="62"/>
  <c r="F24" i="62"/>
  <c r="F38" i="62" s="1"/>
  <c r="F45" i="62" s="1"/>
  <c r="F55" i="62" s="1"/>
  <c r="F63" i="62" s="1"/>
  <c r="F72" i="62" s="1"/>
  <c r="F79" i="62" s="1"/>
  <c r="F86" i="62" s="1"/>
  <c r="F99" i="62" s="1"/>
  <c r="F109" i="62" s="1"/>
  <c r="G37" i="62"/>
  <c r="D35" i="37"/>
  <c r="L35" i="37"/>
  <c r="F35" i="37"/>
  <c r="J35" i="37"/>
  <c r="H35" i="37"/>
  <c r="M8" i="37"/>
  <c r="G12" i="37"/>
  <c r="E12" i="37"/>
  <c r="I12" i="37"/>
  <c r="M7" i="37"/>
  <c r="G17" i="62"/>
  <c r="E24" i="62"/>
  <c r="G16" i="62"/>
  <c r="G54" i="62"/>
  <c r="G78" i="62"/>
  <c r="G108" i="62"/>
  <c r="G130" i="62"/>
  <c r="G187" i="62"/>
  <c r="F131" i="62" l="1"/>
  <c r="F144" i="62" s="1"/>
  <c r="F156" i="62" s="1"/>
  <c r="F163" i="62" s="1"/>
  <c r="F175" i="62" s="1"/>
  <c r="F188" i="62" s="1"/>
  <c r="F196" i="62" s="1"/>
  <c r="E38" i="62"/>
  <c r="G24" i="62"/>
  <c r="G38" i="62" l="1"/>
  <c r="E45" i="62"/>
  <c r="K142" i="59"/>
  <c r="J142" i="59"/>
  <c r="K153" i="59"/>
  <c r="J153" i="59"/>
  <c r="K163" i="59"/>
  <c r="J163" i="59"/>
  <c r="K162" i="59"/>
  <c r="J162" i="59"/>
  <c r="K161" i="59"/>
  <c r="J161" i="59"/>
  <c r="J159" i="59"/>
  <c r="K152" i="59"/>
  <c r="J152" i="59"/>
  <c r="K151" i="59"/>
  <c r="J151" i="59"/>
  <c r="K148" i="59"/>
  <c r="J148" i="59"/>
  <c r="K160" i="59"/>
  <c r="J160" i="59"/>
  <c r="K146" i="59"/>
  <c r="J146" i="59"/>
  <c r="K145" i="59"/>
  <c r="J145" i="59"/>
  <c r="K144" i="59"/>
  <c r="J144" i="59"/>
  <c r="J139" i="59"/>
  <c r="J138" i="59"/>
  <c r="J137" i="59"/>
  <c r="K118" i="59"/>
  <c r="J118" i="59"/>
  <c r="K127" i="59"/>
  <c r="J127" i="59"/>
  <c r="J125" i="59"/>
  <c r="K119" i="59"/>
  <c r="J119" i="59"/>
  <c r="K126" i="59"/>
  <c r="J126" i="59"/>
  <c r="K112" i="59"/>
  <c r="J112" i="59"/>
  <c r="J106" i="59"/>
  <c r="J105" i="59"/>
  <c r="G45" i="62" l="1"/>
  <c r="E55" i="62"/>
  <c r="K84" i="59"/>
  <c r="J84" i="59"/>
  <c r="J96" i="59"/>
  <c r="J94" i="59"/>
  <c r="J95" i="59"/>
  <c r="J78" i="59"/>
  <c r="K74" i="59"/>
  <c r="J73" i="59"/>
  <c r="K72" i="59"/>
  <c r="J72" i="59"/>
  <c r="J38" i="59"/>
  <c r="J37" i="59"/>
  <c r="J59" i="59"/>
  <c r="J36" i="59"/>
  <c r="J35" i="59"/>
  <c r="C3" i="58"/>
  <c r="H160" i="59" l="1"/>
  <c r="H126" i="59"/>
  <c r="H94" i="59"/>
  <c r="H95" i="59"/>
  <c r="H96" i="59"/>
  <c r="H97" i="59"/>
  <c r="H98" i="59"/>
  <c r="H56" i="59"/>
  <c r="H57" i="59"/>
  <c r="H58" i="59"/>
  <c r="H59" i="59"/>
  <c r="H60" i="59"/>
  <c r="H61" i="59"/>
  <c r="H62" i="59"/>
  <c r="H63" i="59"/>
  <c r="H64" i="59"/>
  <c r="H55" i="59"/>
  <c r="G55" i="62"/>
  <c r="E63" i="62"/>
  <c r="G63" i="62" l="1"/>
  <c r="E72" i="62"/>
  <c r="M68" i="15"/>
  <c r="G72" i="62" l="1"/>
  <c r="E79" i="62"/>
  <c r="J33" i="59"/>
  <c r="E86" i="62" l="1"/>
  <c r="G79" i="62"/>
  <c r="F60" i="53"/>
  <c r="F59" i="53"/>
  <c r="M6" i="15"/>
  <c r="M11" i="15" s="1"/>
  <c r="H11" i="15" l="1"/>
  <c r="F11" i="15"/>
  <c r="G86" i="62"/>
  <c r="E99" i="62"/>
  <c r="G99" i="62" l="1"/>
  <c r="E109" i="62"/>
  <c r="E131" i="62" s="1"/>
  <c r="E144" i="62" s="1"/>
  <c r="G109" i="62" l="1"/>
  <c r="G131" i="62" l="1"/>
  <c r="J75" i="59"/>
  <c r="E156" i="62" l="1"/>
  <c r="G144" i="62"/>
  <c r="F20" i="56" l="1"/>
  <c r="F112" i="56" s="1"/>
  <c r="G156" i="62"/>
  <c r="E163" i="62"/>
  <c r="I40" i="15" l="1"/>
  <c r="G163" i="62"/>
  <c r="E175" i="62"/>
  <c r="G175" i="62" l="1"/>
  <c r="E188" i="62"/>
  <c r="E196" i="62" l="1"/>
  <c r="G188" i="62"/>
  <c r="G194" i="14"/>
  <c r="G198" i="62" l="1"/>
  <c r="G196" i="62"/>
  <c r="K164" i="59"/>
  <c r="J164" i="59"/>
  <c r="G20" i="56" l="1"/>
  <c r="G112" i="56" s="1"/>
  <c r="K139" i="59"/>
  <c r="K130" i="59"/>
  <c r="J130" i="59"/>
  <c r="K128" i="59"/>
  <c r="K111" i="59"/>
  <c r="K109" i="59"/>
  <c r="K107" i="59"/>
  <c r="K78" i="59"/>
  <c r="K76" i="59"/>
  <c r="K75" i="59"/>
  <c r="J62" i="59"/>
  <c r="J34" i="59"/>
  <c r="J64" i="59"/>
  <c r="K40" i="15" l="1"/>
  <c r="K46" i="15" s="1"/>
  <c r="J6" i="59" l="1"/>
  <c r="H164" i="59" l="1"/>
  <c r="H130" i="59"/>
  <c r="B7" i="19"/>
  <c r="B5" i="19"/>
  <c r="M164" i="59" l="1"/>
  <c r="N164" i="59" s="1"/>
  <c r="P164" i="59" s="1"/>
  <c r="M130" i="59"/>
  <c r="N130" i="59" s="1"/>
  <c r="P130" i="59" s="1"/>
  <c r="K83" i="59"/>
  <c r="K82" i="59"/>
  <c r="J82" i="59"/>
  <c r="J77" i="59"/>
  <c r="J85" i="59"/>
  <c r="K85" i="59"/>
  <c r="M85" i="59" l="1"/>
  <c r="N85" i="59" s="1"/>
  <c r="P85" i="59" l="1"/>
  <c r="R85" i="59" s="1"/>
  <c r="B136" i="50"/>
  <c r="B134" i="49"/>
  <c r="B134" i="47"/>
  <c r="B127" i="47"/>
  <c r="B128" i="47"/>
  <c r="B129" i="47"/>
  <c r="B130" i="47"/>
  <c r="B131" i="47"/>
  <c r="B132" i="47"/>
  <c r="B133" i="47"/>
  <c r="J32" i="59" l="1"/>
  <c r="J58" i="59"/>
  <c r="E41" i="58"/>
  <c r="E40" i="58"/>
  <c r="E39" i="58"/>
  <c r="E38" i="58"/>
  <c r="E37" i="58"/>
  <c r="E36" i="58"/>
  <c r="E35" i="58"/>
  <c r="E34" i="58"/>
  <c r="E33" i="58"/>
  <c r="E32" i="58"/>
  <c r="E31" i="58"/>
  <c r="E29" i="58"/>
  <c r="E30" i="58"/>
  <c r="E28" i="58"/>
  <c r="E25" i="58"/>
  <c r="E26" i="58"/>
  <c r="E27" i="58"/>
  <c r="E24" i="58"/>
  <c r="E22" i="58"/>
  <c r="E21" i="58"/>
  <c r="E14" i="58"/>
  <c r="E15" i="58"/>
  <c r="E16" i="58"/>
  <c r="E17" i="58"/>
  <c r="E18" i="58"/>
  <c r="E19" i="58"/>
  <c r="E20" i="58"/>
  <c r="E13" i="58"/>
  <c r="E9" i="58"/>
  <c r="E10" i="58"/>
  <c r="E11" i="58"/>
  <c r="E12" i="58"/>
  <c r="E8" i="58"/>
  <c r="E7" i="58"/>
  <c r="E6" i="58"/>
  <c r="E5" i="58"/>
  <c r="E4" i="58"/>
  <c r="D41" i="58"/>
  <c r="D40" i="58"/>
  <c r="D39" i="58"/>
  <c r="D38" i="58"/>
  <c r="D37" i="58"/>
  <c r="L49" i="59" s="1"/>
  <c r="D36" i="58"/>
  <c r="D35" i="58"/>
  <c r="D34" i="58"/>
  <c r="D33" i="58"/>
  <c r="L55" i="59" s="1"/>
  <c r="D32" i="58"/>
  <c r="D31" i="58"/>
  <c r="D29" i="58"/>
  <c r="D30" i="58"/>
  <c r="D28" i="58"/>
  <c r="D25" i="58"/>
  <c r="D26" i="58"/>
  <c r="D27" i="58"/>
  <c r="D24" i="58"/>
  <c r="D23" i="58"/>
  <c r="D22" i="58"/>
  <c r="D21" i="58"/>
  <c r="D14" i="58"/>
  <c r="D15" i="58"/>
  <c r="D16" i="58"/>
  <c r="D17" i="58"/>
  <c r="D18" i="58"/>
  <c r="D19" i="58"/>
  <c r="D20" i="58"/>
  <c r="D13" i="58"/>
  <c r="D9" i="58"/>
  <c r="D10" i="58"/>
  <c r="D11" i="58"/>
  <c r="D12" i="58"/>
  <c r="L9" i="59" s="1"/>
  <c r="D8" i="58"/>
  <c r="D7" i="58"/>
  <c r="D6" i="58"/>
  <c r="D5" i="58"/>
  <c r="C41" i="58"/>
  <c r="C40" i="58"/>
  <c r="C39" i="58"/>
  <c r="C38" i="58"/>
  <c r="H163" i="59" s="1"/>
  <c r="M163" i="59" s="1"/>
  <c r="C37" i="58"/>
  <c r="C36" i="58"/>
  <c r="C35" i="58"/>
  <c r="C34" i="58"/>
  <c r="C33" i="58"/>
  <c r="C32" i="58"/>
  <c r="C31" i="58"/>
  <c r="C29" i="58"/>
  <c r="C30" i="58"/>
  <c r="C28" i="58"/>
  <c r="C25" i="58"/>
  <c r="C26" i="58"/>
  <c r="C27" i="58"/>
  <c r="C24" i="58"/>
  <c r="C23" i="58"/>
  <c r="C22" i="58"/>
  <c r="C21" i="58"/>
  <c r="C14" i="58"/>
  <c r="C15" i="58"/>
  <c r="C16" i="58"/>
  <c r="C17" i="58"/>
  <c r="C18" i="58"/>
  <c r="C19" i="58"/>
  <c r="C20" i="58"/>
  <c r="C13" i="58"/>
  <c r="C11" i="58"/>
  <c r="C12" i="58"/>
  <c r="C10" i="58"/>
  <c r="C9" i="58"/>
  <c r="C8" i="58"/>
  <c r="H72" i="59" s="1"/>
  <c r="C7" i="58"/>
  <c r="H162" i="59" s="1"/>
  <c r="M162" i="59" s="1"/>
  <c r="C6" i="58"/>
  <c r="C5" i="58"/>
  <c r="D4" i="58"/>
  <c r="C4" i="58"/>
  <c r="L27" i="59" l="1"/>
  <c r="L16" i="59"/>
  <c r="L141" i="59"/>
  <c r="L12" i="59"/>
  <c r="H27" i="59"/>
  <c r="H16" i="59"/>
  <c r="H141" i="59"/>
  <c r="H12" i="59"/>
  <c r="M72" i="59"/>
  <c r="L162" i="59"/>
  <c r="N162" i="59" s="1"/>
  <c r="P162" i="59" s="1"/>
  <c r="R162" i="59" s="1"/>
  <c r="L128" i="59"/>
  <c r="H39" i="59"/>
  <c r="M117" i="59"/>
  <c r="N117" i="59" s="1"/>
  <c r="P117" i="59" s="1"/>
  <c r="R117" i="59" s="1"/>
  <c r="H150" i="59"/>
  <c r="M150" i="59" s="1"/>
  <c r="N150" i="59" s="1"/>
  <c r="P150" i="59" s="1"/>
  <c r="R150" i="59" s="1"/>
  <c r="L72" i="59"/>
  <c r="L6" i="59"/>
  <c r="L129" i="59"/>
  <c r="L163" i="59"/>
  <c r="N163" i="59" s="1"/>
  <c r="P163" i="59" s="1"/>
  <c r="R163" i="59" s="1"/>
  <c r="M116" i="59"/>
  <c r="N116" i="59" s="1"/>
  <c r="P116" i="59" s="1"/>
  <c r="R116" i="59" s="1"/>
  <c r="H149" i="59"/>
  <c r="M149" i="59" s="1"/>
  <c r="N149" i="59" s="1"/>
  <c r="P149" i="59" s="1"/>
  <c r="R149" i="59" s="1"/>
  <c r="H81" i="59"/>
  <c r="M81" i="59" s="1"/>
  <c r="N81" i="59" s="1"/>
  <c r="P81" i="59" s="1"/>
  <c r="R81" i="59" s="1"/>
  <c r="H32" i="59"/>
  <c r="M32" i="59" s="1"/>
  <c r="H78" i="59"/>
  <c r="M78" i="59" s="1"/>
  <c r="N78" i="59" s="1"/>
  <c r="P78" i="59" s="1"/>
  <c r="H35" i="59"/>
  <c r="M35" i="59" s="1"/>
  <c r="N35" i="59" s="1"/>
  <c r="P35" i="59" s="1"/>
  <c r="R35" i="59" s="1"/>
  <c r="H36" i="59"/>
  <c r="M36" i="59" s="1"/>
  <c r="N36" i="59" s="1"/>
  <c r="P36" i="59" s="1"/>
  <c r="R36" i="59" s="1"/>
  <c r="H37" i="59"/>
  <c r="M37" i="59" s="1"/>
  <c r="N37" i="59" s="1"/>
  <c r="P37" i="59" s="1"/>
  <c r="R37" i="59" s="1"/>
  <c r="H28" i="59"/>
  <c r="H34" i="59"/>
  <c r="M34" i="59" s="1"/>
  <c r="N34" i="59" s="1"/>
  <c r="P34" i="59" s="1"/>
  <c r="R34" i="59" s="1"/>
  <c r="H33" i="59"/>
  <c r="M33" i="59" s="1"/>
  <c r="N33" i="59" s="1"/>
  <c r="P33" i="59" s="1"/>
  <c r="R33" i="59" s="1"/>
  <c r="H29" i="59"/>
  <c r="H40" i="59"/>
  <c r="M40" i="59" s="1"/>
  <c r="N40" i="59" s="1"/>
  <c r="P40" i="59" s="1"/>
  <c r="R40" i="59" s="1"/>
  <c r="H80" i="59"/>
  <c r="M80" i="59" s="1"/>
  <c r="N80" i="59" s="1"/>
  <c r="P80" i="59" s="1"/>
  <c r="R80" i="59" s="1"/>
  <c r="H153" i="59"/>
  <c r="H142" i="59"/>
  <c r="M142" i="59" s="1"/>
  <c r="N142" i="59" s="1"/>
  <c r="P142" i="59" s="1"/>
  <c r="R142" i="59" s="1"/>
  <c r="H144" i="59"/>
  <c r="M144" i="59" s="1"/>
  <c r="H75" i="59"/>
  <c r="H38" i="59"/>
  <c r="M38" i="59" s="1"/>
  <c r="N38" i="59" s="1"/>
  <c r="P38" i="59" s="1"/>
  <c r="R38" i="59" s="1"/>
  <c r="H77" i="59"/>
  <c r="H84" i="59"/>
  <c r="H76" i="59"/>
  <c r="L107" i="59"/>
  <c r="L108" i="59"/>
  <c r="M160" i="59"/>
  <c r="M126" i="59"/>
  <c r="M95" i="59"/>
  <c r="M62" i="59"/>
  <c r="H146" i="59"/>
  <c r="M146" i="59" s="1"/>
  <c r="H145" i="59"/>
  <c r="M145" i="59" s="1"/>
  <c r="M112" i="59"/>
  <c r="M59" i="59"/>
  <c r="N59" i="59" s="1"/>
  <c r="P59" i="59" s="1"/>
  <c r="R59" i="59" s="1"/>
  <c r="M58" i="59"/>
  <c r="N58" i="59" s="1"/>
  <c r="P58" i="59" s="1"/>
  <c r="R58" i="59" s="1"/>
  <c r="M64" i="59"/>
  <c r="N64" i="59" s="1"/>
  <c r="P64" i="59" s="1"/>
  <c r="R64" i="59" s="1"/>
  <c r="L28" i="59"/>
  <c r="L29" i="59"/>
  <c r="L140" i="59"/>
  <c r="L139" i="59"/>
  <c r="L113" i="59"/>
  <c r="L75" i="59"/>
  <c r="L76" i="59"/>
  <c r="L77" i="59"/>
  <c r="L26" i="59"/>
  <c r="L20" i="59"/>
  <c r="L13" i="59"/>
  <c r="L10" i="59"/>
  <c r="L32" i="59"/>
  <c r="L17" i="59"/>
  <c r="L21" i="59"/>
  <c r="L14" i="59"/>
  <c r="L25" i="59"/>
  <c r="L19" i="59"/>
  <c r="L11" i="59"/>
  <c r="L24" i="59"/>
  <c r="L18" i="59"/>
  <c r="L23" i="59"/>
  <c r="L31" i="59"/>
  <c r="L22" i="59"/>
  <c r="L15" i="59"/>
  <c r="L30" i="59"/>
  <c r="M115" i="59"/>
  <c r="N115" i="59" s="1"/>
  <c r="P115" i="59" s="1"/>
  <c r="R115" i="59" s="1"/>
  <c r="H147" i="59"/>
  <c r="M147" i="59" s="1"/>
  <c r="N147" i="59" s="1"/>
  <c r="P147" i="59" s="1"/>
  <c r="R147" i="59" s="1"/>
  <c r="H79" i="59"/>
  <c r="M79" i="59" s="1"/>
  <c r="N79" i="59" s="1"/>
  <c r="P79" i="59" s="1"/>
  <c r="R79" i="59" s="1"/>
  <c r="H41" i="59"/>
  <c r="H148" i="59"/>
  <c r="M148" i="59" s="1"/>
  <c r="N148" i="59" s="1"/>
  <c r="P148" i="59" s="1"/>
  <c r="R148" i="59" s="1"/>
  <c r="H82" i="59"/>
  <c r="S82" i="59" s="1"/>
  <c r="H151" i="59"/>
  <c r="H152" i="59"/>
  <c r="H83" i="59"/>
  <c r="S83" i="59" s="1"/>
  <c r="L160" i="59"/>
  <c r="L126" i="59"/>
  <c r="L95" i="59"/>
  <c r="L111" i="59"/>
  <c r="L110" i="59"/>
  <c r="L112" i="59"/>
  <c r="L109" i="59"/>
  <c r="L74" i="59"/>
  <c r="L57" i="59"/>
  <c r="L56" i="59"/>
  <c r="L52" i="59"/>
  <c r="L51" i="59"/>
  <c r="L54" i="59"/>
  <c r="L53" i="59"/>
  <c r="L50" i="59"/>
  <c r="R164" i="59"/>
  <c r="N32" i="59" l="1"/>
  <c r="P32" i="59" s="1"/>
  <c r="R32" i="59" s="1"/>
  <c r="N144" i="59"/>
  <c r="P144" i="59" s="1"/>
  <c r="R144" i="59" s="1"/>
  <c r="N72" i="59"/>
  <c r="P72" i="59" s="1"/>
  <c r="R72" i="59" s="1"/>
  <c r="N146" i="59"/>
  <c r="P146" i="59" s="1"/>
  <c r="R146" i="59" s="1"/>
  <c r="N112" i="59"/>
  <c r="P112" i="59" s="1"/>
  <c r="R112" i="59" s="1"/>
  <c r="N160" i="59"/>
  <c r="P160" i="59" s="1"/>
  <c r="R160" i="59" s="1"/>
  <c r="S119" i="59"/>
  <c r="M119" i="59"/>
  <c r="N119" i="59" s="1"/>
  <c r="P119" i="59" s="1"/>
  <c r="R119" i="59" s="1"/>
  <c r="N145" i="59"/>
  <c r="P145" i="59" s="1"/>
  <c r="R145" i="59" s="1"/>
  <c r="S118" i="59"/>
  <c r="M118" i="59"/>
  <c r="N118" i="59" s="1"/>
  <c r="P118" i="59" s="1"/>
  <c r="R118" i="59" s="1"/>
  <c r="S152" i="59"/>
  <c r="M152" i="59"/>
  <c r="N152" i="59" s="1"/>
  <c r="P152" i="59" s="1"/>
  <c r="R152" i="59" s="1"/>
  <c r="S151" i="59"/>
  <c r="M151" i="59"/>
  <c r="N151" i="59" s="1"/>
  <c r="P151" i="59" s="1"/>
  <c r="R151" i="59" s="1"/>
  <c r="N95" i="59"/>
  <c r="P95" i="59" s="1"/>
  <c r="R95" i="59" s="1"/>
  <c r="S84" i="59"/>
  <c r="S89" i="59" s="1"/>
  <c r="M84" i="59"/>
  <c r="N84" i="59" s="1"/>
  <c r="P84" i="59" s="1"/>
  <c r="R84" i="59" s="1"/>
  <c r="S153" i="59"/>
  <c r="M153" i="59"/>
  <c r="N153" i="59" s="1"/>
  <c r="P153" i="59" s="1"/>
  <c r="R153" i="59" s="1"/>
  <c r="N126" i="59"/>
  <c r="P126" i="59" s="1"/>
  <c r="R126" i="59" s="1"/>
  <c r="R78" i="59"/>
  <c r="N62" i="59"/>
  <c r="P62" i="59" s="1"/>
  <c r="R62" i="59" s="1"/>
  <c r="M82" i="59"/>
  <c r="N82" i="59" s="1"/>
  <c r="P82" i="59" s="1"/>
  <c r="R82" i="59" s="1"/>
  <c r="R130" i="59"/>
  <c r="J114" i="59"/>
  <c r="K114" i="59"/>
  <c r="L114" i="59"/>
  <c r="H13" i="59"/>
  <c r="S154" i="59" l="1"/>
  <c r="S120" i="59"/>
  <c r="S168" i="59" s="1"/>
  <c r="M114" i="59"/>
  <c r="N114" i="59" s="1"/>
  <c r="P114" i="59" s="1"/>
  <c r="R114" i="59" s="1"/>
  <c r="G244" i="14"/>
  <c r="I244" i="14" s="1"/>
  <c r="G243" i="14"/>
  <c r="O243" i="14" s="1"/>
  <c r="G242" i="14"/>
  <c r="O242" i="14" s="1"/>
  <c r="G241" i="14"/>
  <c r="J241" i="14" s="1"/>
  <c r="G240" i="14"/>
  <c r="O240" i="14" s="1"/>
  <c r="G239" i="14"/>
  <c r="O239" i="14" s="1"/>
  <c r="G238" i="14"/>
  <c r="K238" i="14" s="1"/>
  <c r="G237" i="14"/>
  <c r="H237" i="14" s="1"/>
  <c r="J243" i="14" l="1"/>
  <c r="I239" i="14"/>
  <c r="O237" i="14"/>
  <c r="J240" i="14"/>
  <c r="O241" i="14"/>
  <c r="I241" i="14"/>
  <c r="J242" i="14"/>
  <c r="I243" i="14"/>
  <c r="I240" i="14"/>
  <c r="I242" i="14"/>
  <c r="O238" i="14"/>
  <c r="O244" i="14"/>
  <c r="J244" i="14"/>
  <c r="F37" i="50"/>
  <c r="B37" i="50"/>
  <c r="B38" i="50"/>
  <c r="F38" i="50"/>
  <c r="H38" i="50" s="1"/>
  <c r="I38" i="50"/>
  <c r="F135" i="51" l="1"/>
  <c r="B135" i="51"/>
  <c r="F82" i="53" l="1"/>
  <c r="B82" i="53"/>
  <c r="B82" i="47"/>
  <c r="F82" i="49"/>
  <c r="B82" i="49"/>
  <c r="F83" i="50"/>
  <c r="B83" i="50"/>
  <c r="F82" i="51"/>
  <c r="B81" i="51"/>
  <c r="B82" i="51"/>
  <c r="B80" i="51"/>
  <c r="M57" i="37"/>
  <c r="J76" i="59"/>
  <c r="M196" i="37" l="1"/>
  <c r="J31" i="59" l="1"/>
  <c r="H31" i="59"/>
  <c r="K108" i="59"/>
  <c r="M31" i="59" l="1"/>
  <c r="N31" i="59" s="1"/>
  <c r="P31" i="59" s="1"/>
  <c r="R31" i="59" s="1"/>
  <c r="G221" i="14" l="1"/>
  <c r="G222" i="14"/>
  <c r="G223" i="14"/>
  <c r="G224" i="14"/>
  <c r="G225" i="14"/>
  <c r="G226" i="14"/>
  <c r="G227" i="14"/>
  <c r="G228" i="14"/>
  <c r="G229" i="14"/>
  <c r="G230" i="14"/>
  <c r="G231" i="14"/>
  <c r="G232" i="14"/>
  <c r="G233" i="14"/>
  <c r="G234" i="14"/>
  <c r="G235" i="14"/>
  <c r="G236" i="14"/>
  <c r="G220" i="14"/>
  <c r="O220" i="14" s="1"/>
  <c r="P220" i="14" s="1"/>
  <c r="F72" i="51"/>
  <c r="F72" i="53"/>
  <c r="F73" i="53"/>
  <c r="F74" i="53"/>
  <c r="B72" i="53"/>
  <c r="B73" i="53"/>
  <c r="B74" i="53"/>
  <c r="F72" i="47"/>
  <c r="F73" i="47"/>
  <c r="B72" i="47"/>
  <c r="B73" i="47"/>
  <c r="B74" i="47"/>
  <c r="F73" i="51"/>
  <c r="F72" i="49"/>
  <c r="F73" i="49"/>
  <c r="F74" i="49"/>
  <c r="B72" i="49"/>
  <c r="B73" i="49"/>
  <c r="B74" i="49"/>
  <c r="F73" i="50"/>
  <c r="F74" i="50"/>
  <c r="F75" i="50"/>
  <c r="B73" i="50"/>
  <c r="B74" i="50"/>
  <c r="B75" i="50"/>
  <c r="B72" i="51"/>
  <c r="B73" i="51"/>
  <c r="B74" i="51"/>
  <c r="F131" i="53"/>
  <c r="F74" i="47"/>
  <c r="F74" i="51"/>
  <c r="J108" i="59"/>
  <c r="F29" i="49"/>
  <c r="F30" i="49"/>
  <c r="F31" i="49"/>
  <c r="B29" i="49"/>
  <c r="B30" i="49"/>
  <c r="B31" i="49"/>
  <c r="B32" i="49"/>
  <c r="F129" i="51"/>
  <c r="F130" i="51"/>
  <c r="F132" i="51"/>
  <c r="B128" i="51"/>
  <c r="B129" i="51"/>
  <c r="B130" i="51"/>
  <c r="B131" i="51"/>
  <c r="B132" i="51"/>
  <c r="B133" i="51"/>
  <c r="B134" i="51"/>
  <c r="B129" i="50"/>
  <c r="B130" i="50"/>
  <c r="B131" i="50"/>
  <c r="B132" i="50"/>
  <c r="B133" i="50"/>
  <c r="B134" i="50"/>
  <c r="B135" i="50"/>
  <c r="F130" i="50"/>
  <c r="F131" i="50"/>
  <c r="F133" i="50"/>
  <c r="F128" i="49"/>
  <c r="F129" i="49"/>
  <c r="F131" i="49"/>
  <c r="B127" i="49"/>
  <c r="B128" i="49"/>
  <c r="B129" i="49"/>
  <c r="B130" i="49"/>
  <c r="B131" i="49"/>
  <c r="B132" i="49"/>
  <c r="B133" i="49"/>
  <c r="F128" i="47"/>
  <c r="F129" i="47"/>
  <c r="F131" i="47"/>
  <c r="F127" i="53"/>
  <c r="F128" i="53"/>
  <c r="F129" i="53"/>
  <c r="F130" i="53"/>
  <c r="F132" i="53"/>
  <c r="F133" i="53"/>
  <c r="F134" i="53"/>
  <c r="B127" i="53"/>
  <c r="B128" i="53"/>
  <c r="B129" i="53"/>
  <c r="B130" i="53"/>
  <c r="B131" i="53"/>
  <c r="B132" i="53"/>
  <c r="B133" i="53"/>
  <c r="B134" i="53"/>
  <c r="F79" i="51"/>
  <c r="F80" i="51"/>
  <c r="B79" i="51"/>
  <c r="B79" i="53"/>
  <c r="B80" i="53"/>
  <c r="B81" i="53"/>
  <c r="H128" i="59"/>
  <c r="H129" i="59"/>
  <c r="O236" i="14" l="1"/>
  <c r="H236" i="14"/>
  <c r="O235" i="14"/>
  <c r="H235" i="14"/>
  <c r="O234" i="14"/>
  <c r="J234" i="14"/>
  <c r="I234" i="14"/>
  <c r="O233" i="14"/>
  <c r="J233" i="14"/>
  <c r="I233" i="14"/>
  <c r="I232" i="14"/>
  <c r="O232" i="14"/>
  <c r="Q232" i="14" s="1"/>
  <c r="O231" i="14"/>
  <c r="Q231" i="14" s="1"/>
  <c r="I231" i="14"/>
  <c r="O230" i="14"/>
  <c r="K230" i="14"/>
  <c r="O229" i="14"/>
  <c r="H229" i="14"/>
  <c r="O228" i="14"/>
  <c r="H228" i="14"/>
  <c r="O227" i="14"/>
  <c r="I227" i="14"/>
  <c r="J227" i="14"/>
  <c r="O226" i="14"/>
  <c r="K226" i="14"/>
  <c r="O225" i="14"/>
  <c r="K225" i="14"/>
  <c r="O224" i="14"/>
  <c r="H224" i="14"/>
  <c r="H223" i="14"/>
  <c r="O223" i="14"/>
  <c r="I222" i="14"/>
  <c r="O222" i="14"/>
  <c r="H221" i="14"/>
  <c r="O221" i="14"/>
  <c r="H220" i="14"/>
  <c r="N43" i="59"/>
  <c r="P43" i="59" s="1"/>
  <c r="R43" i="59" s="1"/>
  <c r="M108" i="59"/>
  <c r="N42" i="59"/>
  <c r="P42" i="59" s="1"/>
  <c r="N44" i="59"/>
  <c r="P44" i="59" s="1"/>
  <c r="R44" i="59" s="1"/>
  <c r="N65" i="59"/>
  <c r="R42" i="59" l="1"/>
  <c r="P65" i="59"/>
  <c r="R65" i="59" s="1"/>
  <c r="K41" i="59"/>
  <c r="J41" i="59"/>
  <c r="J39" i="59"/>
  <c r="K113" i="59"/>
  <c r="K141" i="59"/>
  <c r="K140" i="59"/>
  <c r="H140" i="59"/>
  <c r="J140" i="59"/>
  <c r="J141" i="59"/>
  <c r="H139" i="59"/>
  <c r="J129" i="59"/>
  <c r="J128" i="59"/>
  <c r="J107" i="59"/>
  <c r="J109" i="59"/>
  <c r="J110" i="59"/>
  <c r="J111" i="59"/>
  <c r="J113" i="59"/>
  <c r="H74" i="59"/>
  <c r="H50" i="59"/>
  <c r="H51" i="59"/>
  <c r="H52" i="59"/>
  <c r="H53" i="59"/>
  <c r="H54" i="59"/>
  <c r="H49" i="59"/>
  <c r="H15" i="59"/>
  <c r="H17" i="59"/>
  <c r="H18" i="59"/>
  <c r="H19" i="59"/>
  <c r="H20" i="59"/>
  <c r="H21" i="59"/>
  <c r="H22" i="59"/>
  <c r="H23" i="59"/>
  <c r="H24" i="59"/>
  <c r="H25" i="59"/>
  <c r="H26" i="59"/>
  <c r="H30" i="59"/>
  <c r="H143" i="59"/>
  <c r="H14" i="59"/>
  <c r="H9" i="59"/>
  <c r="H10" i="59"/>
  <c r="H11" i="59"/>
  <c r="H6" i="59"/>
  <c r="J74" i="59"/>
  <c r="J83" i="59"/>
  <c r="J86" i="59"/>
  <c r="J87" i="59"/>
  <c r="J50" i="59"/>
  <c r="J51" i="59"/>
  <c r="J52" i="59"/>
  <c r="J53" i="59"/>
  <c r="J54" i="59"/>
  <c r="J57" i="59"/>
  <c r="J61" i="59"/>
  <c r="J63" i="59"/>
  <c r="J49" i="59"/>
  <c r="J7" i="59"/>
  <c r="J8" i="59"/>
  <c r="J9" i="59"/>
  <c r="J10" i="59"/>
  <c r="J11" i="59"/>
  <c r="J12" i="59"/>
  <c r="J13" i="59"/>
  <c r="J14" i="59"/>
  <c r="J15" i="59"/>
  <c r="J16" i="59"/>
  <c r="J17" i="59"/>
  <c r="J18" i="59"/>
  <c r="J19" i="59"/>
  <c r="J20" i="59"/>
  <c r="J21" i="59"/>
  <c r="J22" i="59"/>
  <c r="J23" i="59"/>
  <c r="J24" i="59"/>
  <c r="J25" i="59"/>
  <c r="J26" i="59"/>
  <c r="J27" i="59"/>
  <c r="J28" i="59"/>
  <c r="J29" i="59"/>
  <c r="J56" i="59"/>
  <c r="J30" i="59"/>
  <c r="J143" i="59"/>
  <c r="K129" i="59"/>
  <c r="K88" i="59"/>
  <c r="K77" i="59"/>
  <c r="J154" i="59" l="1"/>
  <c r="J89" i="59"/>
  <c r="J120" i="59"/>
  <c r="J45" i="59"/>
  <c r="Q154" i="59"/>
  <c r="Q45" i="59"/>
  <c r="Q66" i="59"/>
  <c r="M28" i="59"/>
  <c r="N28" i="59" s="1"/>
  <c r="M41" i="59"/>
  <c r="N41" i="59" s="1"/>
  <c r="P41" i="59" s="1"/>
  <c r="R41" i="59" s="1"/>
  <c r="M39" i="59"/>
  <c r="N39" i="59" s="1"/>
  <c r="P39" i="59" s="1"/>
  <c r="R39" i="59" s="1"/>
  <c r="M141" i="59"/>
  <c r="M140" i="59"/>
  <c r="N140" i="59" s="1"/>
  <c r="P140" i="59" s="1"/>
  <c r="M139" i="59"/>
  <c r="N139" i="59" s="1"/>
  <c r="P139" i="59" s="1"/>
  <c r="M51" i="59"/>
  <c r="N51" i="59" s="1"/>
  <c r="K86" i="59"/>
  <c r="M77" i="59"/>
  <c r="N77" i="59" s="1"/>
  <c r="M111" i="59"/>
  <c r="M50" i="59"/>
  <c r="N50" i="59" s="1"/>
  <c r="M52" i="59"/>
  <c r="N52" i="59" s="1"/>
  <c r="M53" i="59"/>
  <c r="N53" i="59" s="1"/>
  <c r="M57" i="59"/>
  <c r="N57" i="59" s="1"/>
  <c r="M75" i="59"/>
  <c r="N75" i="59" s="1"/>
  <c r="P75" i="59" s="1"/>
  <c r="N87" i="59"/>
  <c r="R87" i="59" s="1"/>
  <c r="N108" i="59"/>
  <c r="P108" i="59" s="1"/>
  <c r="M113" i="59"/>
  <c r="M129" i="59"/>
  <c r="N129" i="59" s="1"/>
  <c r="K110" i="59"/>
  <c r="M128" i="59"/>
  <c r="N128" i="59" s="1"/>
  <c r="M56" i="59"/>
  <c r="N56" i="59" s="1"/>
  <c r="M143" i="59"/>
  <c r="M9" i="59"/>
  <c r="N9" i="59" s="1"/>
  <c r="M11" i="59"/>
  <c r="N11" i="59" s="1"/>
  <c r="M13" i="59"/>
  <c r="N13" i="59" s="1"/>
  <c r="P13" i="59" s="1"/>
  <c r="M15" i="59"/>
  <c r="N15" i="59" s="1"/>
  <c r="M16" i="59"/>
  <c r="N16" i="59" s="1"/>
  <c r="P16" i="59" s="1"/>
  <c r="M18" i="59"/>
  <c r="N18" i="59" s="1"/>
  <c r="M20" i="59"/>
  <c r="N20" i="59" s="1"/>
  <c r="M22" i="59"/>
  <c r="N22" i="59" s="1"/>
  <c r="M24" i="59"/>
  <c r="N24" i="59" s="1"/>
  <c r="M26" i="59"/>
  <c r="N26" i="59" s="1"/>
  <c r="M29" i="59"/>
  <c r="N29" i="59" s="1"/>
  <c r="M30" i="59"/>
  <c r="N30" i="59" s="1"/>
  <c r="M14" i="59"/>
  <c r="N14" i="59" s="1"/>
  <c r="M19" i="59"/>
  <c r="N19" i="59" s="1"/>
  <c r="M21" i="59"/>
  <c r="N21" i="59" s="1"/>
  <c r="M23" i="59"/>
  <c r="N23" i="59" s="1"/>
  <c r="M25" i="59"/>
  <c r="N25" i="59" s="1"/>
  <c r="M27" i="59"/>
  <c r="N27" i="59" s="1"/>
  <c r="P27" i="59" s="1"/>
  <c r="M54" i="59"/>
  <c r="N54" i="59" s="1"/>
  <c r="M55" i="59"/>
  <c r="M76" i="59"/>
  <c r="N76" i="59" s="1"/>
  <c r="M88" i="59"/>
  <c r="N88" i="59" s="1"/>
  <c r="R88" i="59" s="1"/>
  <c r="M49" i="59"/>
  <c r="M12" i="59"/>
  <c r="M17" i="59"/>
  <c r="N17" i="59" s="1"/>
  <c r="M10" i="59"/>
  <c r="N10" i="59" s="1"/>
  <c r="M6" i="59"/>
  <c r="N141" i="59" l="1"/>
  <c r="N55" i="59"/>
  <c r="Q168" i="59"/>
  <c r="N12" i="59"/>
  <c r="N6" i="59"/>
  <c r="P6" i="59" s="1"/>
  <c r="N113" i="59"/>
  <c r="P113" i="59" s="1"/>
  <c r="N143" i="59"/>
  <c r="P143" i="59" s="1"/>
  <c r="P19" i="59"/>
  <c r="R19" i="59" s="1"/>
  <c r="P11" i="59"/>
  <c r="R11" i="59" s="1"/>
  <c r="P28" i="59"/>
  <c r="R28" i="59" s="1"/>
  <c r="P23" i="59"/>
  <c r="R23" i="59" s="1"/>
  <c r="P22" i="59"/>
  <c r="R22" i="59" s="1"/>
  <c r="P15" i="59"/>
  <c r="R15" i="59" s="1"/>
  <c r="P56" i="59"/>
  <c r="R56" i="59" s="1"/>
  <c r="P25" i="59"/>
  <c r="R25" i="59" s="1"/>
  <c r="P14" i="59"/>
  <c r="R14" i="59" s="1"/>
  <c r="P77" i="59"/>
  <c r="R77" i="59" s="1"/>
  <c r="P24" i="59"/>
  <c r="R24" i="59" s="1"/>
  <c r="R16" i="59"/>
  <c r="P9" i="59"/>
  <c r="R9" i="59" s="1"/>
  <c r="P53" i="59"/>
  <c r="R53" i="59" s="1"/>
  <c r="P10" i="59"/>
  <c r="R10" i="59" s="1"/>
  <c r="P76" i="59"/>
  <c r="R76" i="59" s="1"/>
  <c r="P26" i="59"/>
  <c r="R26" i="59" s="1"/>
  <c r="P128" i="59"/>
  <c r="R128" i="59" s="1"/>
  <c r="P17" i="59"/>
  <c r="R17" i="59" s="1"/>
  <c r="P54" i="59"/>
  <c r="R54" i="59" s="1"/>
  <c r="P21" i="59"/>
  <c r="R21" i="59" s="1"/>
  <c r="P29" i="59"/>
  <c r="R29" i="59" s="1"/>
  <c r="P20" i="59"/>
  <c r="R20" i="59" s="1"/>
  <c r="R13" i="59"/>
  <c r="P129" i="59"/>
  <c r="R129" i="59" s="1"/>
  <c r="P57" i="59"/>
  <c r="R57" i="59" s="1"/>
  <c r="P50" i="59"/>
  <c r="R50" i="59" s="1"/>
  <c r="R139" i="59"/>
  <c r="R27" i="59"/>
  <c r="P18" i="59"/>
  <c r="R18" i="59" s="1"/>
  <c r="P51" i="59"/>
  <c r="R51" i="59" s="1"/>
  <c r="P30" i="59"/>
  <c r="R30" i="59" s="1"/>
  <c r="P52" i="59"/>
  <c r="R52" i="59" s="1"/>
  <c r="R140" i="59"/>
  <c r="R108" i="59"/>
  <c r="M86" i="59"/>
  <c r="N86" i="59" s="1"/>
  <c r="M83" i="59"/>
  <c r="N83" i="59" s="1"/>
  <c r="N111" i="59"/>
  <c r="M109" i="59"/>
  <c r="N109" i="59" s="1"/>
  <c r="M107" i="59"/>
  <c r="N107" i="59" s="1"/>
  <c r="M110" i="59"/>
  <c r="N110" i="59" s="1"/>
  <c r="M74" i="59"/>
  <c r="N74" i="59" s="1"/>
  <c r="N49" i="59"/>
  <c r="P141" i="59" l="1"/>
  <c r="P55" i="59"/>
  <c r="P12" i="59"/>
  <c r="P86" i="59"/>
  <c r="R86" i="59" s="1"/>
  <c r="P83" i="59"/>
  <c r="R83" i="59" s="1"/>
  <c r="P49" i="59"/>
  <c r="R143" i="59"/>
  <c r="P74" i="59"/>
  <c r="R74" i="59" s="1"/>
  <c r="P110" i="59"/>
  <c r="R110" i="59" s="1"/>
  <c r="P109" i="59"/>
  <c r="R109" i="59" s="1"/>
  <c r="P107" i="59"/>
  <c r="R107" i="59" s="1"/>
  <c r="P111" i="59"/>
  <c r="R111" i="59" s="1"/>
  <c r="R113" i="59"/>
  <c r="R75" i="59"/>
  <c r="R6" i="59"/>
  <c r="M67" i="15" l="1"/>
  <c r="R141" i="59"/>
  <c r="R55" i="59"/>
  <c r="R12" i="59"/>
  <c r="R49" i="59"/>
  <c r="G219" i="14" l="1"/>
  <c r="K219" i="14" s="1"/>
  <c r="G218" i="14"/>
  <c r="I218" i="14" s="1"/>
  <c r="G217" i="14"/>
  <c r="O217" i="14" s="1"/>
  <c r="G216" i="14"/>
  <c r="O216" i="14" s="1"/>
  <c r="G215" i="14"/>
  <c r="J215" i="14" s="1"/>
  <c r="G214" i="14"/>
  <c r="K214" i="14" s="1"/>
  <c r="G213" i="14"/>
  <c r="O213" i="14" s="1"/>
  <c r="G212" i="14"/>
  <c r="O212" i="14" s="1"/>
  <c r="S212" i="14" s="1"/>
  <c r="G211" i="14"/>
  <c r="O211" i="14" s="1"/>
  <c r="P211" i="14" s="1"/>
  <c r="G210" i="14"/>
  <c r="O210" i="14" s="1"/>
  <c r="P210" i="14" s="1"/>
  <c r="G209" i="14"/>
  <c r="O209" i="14" s="1"/>
  <c r="G208" i="14"/>
  <c r="O208" i="14" s="1"/>
  <c r="G207" i="14"/>
  <c r="O207" i="14" s="1"/>
  <c r="G206" i="14"/>
  <c r="H206" i="14" s="1"/>
  <c r="G205" i="14"/>
  <c r="O205" i="14" s="1"/>
  <c r="G204" i="14"/>
  <c r="I204" i="14" s="1"/>
  <c r="F133" i="47"/>
  <c r="F133" i="49"/>
  <c r="F135" i="50"/>
  <c r="F134" i="51"/>
  <c r="R216" i="14" l="1"/>
  <c r="Q216" i="14"/>
  <c r="Q208" i="14"/>
  <c r="R208" i="14"/>
  <c r="R207" i="14"/>
  <c r="Q207" i="14"/>
  <c r="O214" i="14"/>
  <c r="S214" i="14" s="1"/>
  <c r="O204" i="14"/>
  <c r="O206" i="14"/>
  <c r="I213" i="14"/>
  <c r="O219" i="14"/>
  <c r="O218" i="14"/>
  <c r="J218" i="14"/>
  <c r="H217" i="14"/>
  <c r="O215" i="14"/>
  <c r="H211" i="14"/>
  <c r="Q205" i="14"/>
  <c r="R205" i="14"/>
  <c r="I205" i="14"/>
  <c r="I207" i="14"/>
  <c r="J208" i="14"/>
  <c r="J209" i="14"/>
  <c r="H210" i="14"/>
  <c r="K212" i="14"/>
  <c r="J216" i="14"/>
  <c r="J207" i="14"/>
  <c r="I208" i="14"/>
  <c r="I209" i="14"/>
  <c r="H214" i="14"/>
  <c r="I215" i="14"/>
  <c r="I216" i="14"/>
  <c r="R218" i="14" l="1"/>
  <c r="Q218" i="14"/>
  <c r="R215" i="14"/>
  <c r="Q215" i="14"/>
  <c r="C257" i="37" l="1"/>
  <c r="M256" i="37"/>
  <c r="M255" i="37"/>
  <c r="M254" i="37"/>
  <c r="M253" i="37"/>
  <c r="M276" i="37"/>
  <c r="M277" i="37"/>
  <c r="M278" i="37"/>
  <c r="C279" i="37"/>
  <c r="E279" i="37"/>
  <c r="G279" i="37"/>
  <c r="I279" i="37"/>
  <c r="K279" i="37"/>
  <c r="M172" i="37"/>
  <c r="J186" i="37" l="1"/>
  <c r="L172" i="37"/>
  <c r="F172" i="37"/>
  <c r="H172" i="37"/>
  <c r="J172" i="37"/>
  <c r="D172" i="37"/>
  <c r="M279" i="37"/>
  <c r="F186" i="37"/>
  <c r="D186" i="37"/>
  <c r="H186" i="37"/>
  <c r="F7" i="51" l="1"/>
  <c r="F37" i="53"/>
  <c r="F34" i="53"/>
  <c r="B35" i="53"/>
  <c r="B36" i="53"/>
  <c r="B37" i="53"/>
  <c r="B34" i="53"/>
  <c r="G33" i="53"/>
  <c r="B28" i="53"/>
  <c r="G27" i="53"/>
  <c r="F29" i="53"/>
  <c r="F30" i="53"/>
  <c r="F31" i="53"/>
  <c r="H31" i="53" s="1"/>
  <c r="F32" i="53"/>
  <c r="I31" i="53"/>
  <c r="F28" i="53"/>
  <c r="G11" i="53"/>
  <c r="F19" i="53"/>
  <c r="F20" i="53"/>
  <c r="F21" i="53"/>
  <c r="F22" i="53"/>
  <c r="F18" i="53"/>
  <c r="F13" i="53"/>
  <c r="F14" i="53"/>
  <c r="F15" i="53"/>
  <c r="F16" i="53"/>
  <c r="F17" i="53"/>
  <c r="F12" i="53"/>
  <c r="B19" i="53"/>
  <c r="B20" i="53"/>
  <c r="B21" i="53"/>
  <c r="B22" i="53"/>
  <c r="B18" i="53"/>
  <c r="B13" i="53"/>
  <c r="B14" i="53"/>
  <c r="B15" i="53"/>
  <c r="B16" i="53"/>
  <c r="B17" i="53"/>
  <c r="B12" i="53"/>
  <c r="F29" i="47"/>
  <c r="F30" i="47"/>
  <c r="F31" i="47"/>
  <c r="F32" i="47"/>
  <c r="B29" i="47"/>
  <c r="B30" i="47"/>
  <c r="B31" i="47"/>
  <c r="B32" i="47"/>
  <c r="B35" i="47"/>
  <c r="B36" i="47"/>
  <c r="B37" i="47"/>
  <c r="B34" i="47"/>
  <c r="B28" i="47"/>
  <c r="B19" i="47"/>
  <c r="B20" i="47"/>
  <c r="B21" i="47"/>
  <c r="B22" i="47"/>
  <c r="B18" i="47"/>
  <c r="B13" i="47"/>
  <c r="B14" i="47"/>
  <c r="B15" i="47"/>
  <c r="B16" i="47"/>
  <c r="B17" i="47"/>
  <c r="B12" i="47"/>
  <c r="G6" i="47"/>
  <c r="G11" i="47"/>
  <c r="B19" i="49"/>
  <c r="B20" i="49"/>
  <c r="B21" i="49"/>
  <c r="B22" i="49"/>
  <c r="B18" i="49"/>
  <c r="B13" i="49"/>
  <c r="B14" i="49"/>
  <c r="B15" i="49"/>
  <c r="B16" i="49"/>
  <c r="B17" i="49"/>
  <c r="B12" i="49"/>
  <c r="B35" i="49"/>
  <c r="B36" i="49"/>
  <c r="B37" i="49"/>
  <c r="B34" i="49"/>
  <c r="B28" i="49"/>
  <c r="G33" i="49"/>
  <c r="G11" i="49"/>
  <c r="G27" i="49"/>
  <c r="B19" i="50"/>
  <c r="B20" i="50"/>
  <c r="B21" i="50"/>
  <c r="B22" i="50"/>
  <c r="B18" i="50"/>
  <c r="B13" i="50"/>
  <c r="B14" i="50"/>
  <c r="B15" i="50"/>
  <c r="B16" i="50"/>
  <c r="B17" i="50"/>
  <c r="B12" i="50"/>
  <c r="B35" i="50"/>
  <c r="B36" i="50"/>
  <c r="B34" i="50"/>
  <c r="B29" i="50"/>
  <c r="B30" i="50"/>
  <c r="B31" i="50"/>
  <c r="B32" i="50"/>
  <c r="B28" i="50"/>
  <c r="I31" i="50"/>
  <c r="F31" i="50"/>
  <c r="H31" i="50" s="1"/>
  <c r="B35" i="51"/>
  <c r="B36" i="51"/>
  <c r="B37" i="51"/>
  <c r="B34" i="51"/>
  <c r="B29" i="51"/>
  <c r="B30" i="51"/>
  <c r="B31" i="51"/>
  <c r="B32" i="51"/>
  <c r="I31" i="51"/>
  <c r="F31" i="51"/>
  <c r="H31" i="51" s="1"/>
  <c r="B28" i="51"/>
  <c r="B19" i="51"/>
  <c r="B20" i="51"/>
  <c r="B21" i="51"/>
  <c r="B22" i="51"/>
  <c r="B18" i="51"/>
  <c r="B13" i="51"/>
  <c r="B14" i="51"/>
  <c r="B15" i="51"/>
  <c r="B16" i="51"/>
  <c r="B17" i="51"/>
  <c r="B12" i="51"/>
  <c r="M120" i="15"/>
  <c r="M119" i="15"/>
  <c r="M118" i="15"/>
  <c r="M106" i="15"/>
  <c r="M115" i="15" s="1"/>
  <c r="M102" i="15"/>
  <c r="M101" i="15"/>
  <c r="M100" i="15"/>
  <c r="M96" i="15"/>
  <c r="M95" i="15"/>
  <c r="M94" i="15"/>
  <c r="F11" i="53" l="1"/>
  <c r="F27" i="53"/>
  <c r="M85" i="15" l="1"/>
  <c r="F36" i="53"/>
  <c r="M18" i="15"/>
  <c r="M24" i="15" s="1"/>
  <c r="F8" i="50"/>
  <c r="I32" i="15"/>
  <c r="M75" i="15"/>
  <c r="I46" i="15"/>
  <c r="K121" i="15"/>
  <c r="K103" i="15"/>
  <c r="K97" i="15"/>
  <c r="K57" i="15"/>
  <c r="F62" i="49"/>
  <c r="F63" i="49"/>
  <c r="F142" i="48"/>
  <c r="F140" i="48"/>
  <c r="F114" i="48"/>
  <c r="F112" i="48"/>
  <c r="F108" i="48"/>
  <c r="F92" i="48"/>
  <c r="F58" i="48"/>
  <c r="F56" i="48"/>
  <c r="F54" i="48"/>
  <c r="F52" i="48"/>
  <c r="F36" i="48"/>
  <c r="F32" i="48"/>
  <c r="F12" i="48"/>
  <c r="F126" i="53"/>
  <c r="F125" i="53" s="1"/>
  <c r="B126" i="53"/>
  <c r="B121" i="53"/>
  <c r="B122" i="53"/>
  <c r="B123" i="53"/>
  <c r="B124" i="53"/>
  <c r="B120" i="53"/>
  <c r="F121" i="53"/>
  <c r="F122" i="53"/>
  <c r="F123" i="53"/>
  <c r="F124" i="53"/>
  <c r="F120" i="53"/>
  <c r="F79" i="53"/>
  <c r="F80" i="53"/>
  <c r="F81" i="53"/>
  <c r="F78" i="53"/>
  <c r="B78" i="53"/>
  <c r="F71" i="53"/>
  <c r="F70" i="53" s="1"/>
  <c r="B71" i="53"/>
  <c r="F66" i="53"/>
  <c r="F67" i="53"/>
  <c r="F68" i="53"/>
  <c r="F69" i="53"/>
  <c r="F65" i="53"/>
  <c r="B66" i="53"/>
  <c r="B67" i="53"/>
  <c r="B68" i="53"/>
  <c r="B69" i="53"/>
  <c r="B65" i="53"/>
  <c r="F61" i="53"/>
  <c r="F62" i="53"/>
  <c r="F63" i="53"/>
  <c r="B60" i="53"/>
  <c r="B61" i="53"/>
  <c r="B62" i="53"/>
  <c r="B63" i="53"/>
  <c r="B59" i="53"/>
  <c r="B126" i="47"/>
  <c r="B121" i="47"/>
  <c r="B122" i="47"/>
  <c r="B123" i="47"/>
  <c r="B124" i="47"/>
  <c r="B120" i="47"/>
  <c r="B79" i="47"/>
  <c r="B80" i="47"/>
  <c r="B81" i="47"/>
  <c r="B78" i="47"/>
  <c r="B71" i="47"/>
  <c r="B66" i="47"/>
  <c r="B67" i="47"/>
  <c r="B68" i="47"/>
  <c r="B69" i="47"/>
  <c r="B65" i="47"/>
  <c r="F62" i="47"/>
  <c r="F63" i="47"/>
  <c r="B60" i="47"/>
  <c r="B61" i="47"/>
  <c r="B62" i="47"/>
  <c r="B63" i="47"/>
  <c r="B59" i="47"/>
  <c r="F123" i="49"/>
  <c r="F80" i="49"/>
  <c r="B126" i="49"/>
  <c r="F124" i="49"/>
  <c r="B121" i="49"/>
  <c r="B122" i="49"/>
  <c r="B123" i="49"/>
  <c r="B124" i="49"/>
  <c r="B120" i="49"/>
  <c r="F79" i="49"/>
  <c r="F81" i="49"/>
  <c r="B79" i="49"/>
  <c r="B80" i="49"/>
  <c r="B81" i="49"/>
  <c r="B78" i="49"/>
  <c r="B71" i="49"/>
  <c r="B66" i="49"/>
  <c r="B67" i="49"/>
  <c r="B68" i="49"/>
  <c r="B69" i="49"/>
  <c r="B65" i="49"/>
  <c r="B60" i="49"/>
  <c r="B61" i="49"/>
  <c r="B62" i="49"/>
  <c r="B63" i="49"/>
  <c r="B59" i="49"/>
  <c r="B128" i="50"/>
  <c r="B123" i="50"/>
  <c r="B124" i="50"/>
  <c r="B125" i="50"/>
  <c r="B126" i="50"/>
  <c r="B122" i="50"/>
  <c r="F126" i="50"/>
  <c r="F80" i="50"/>
  <c r="F81" i="50"/>
  <c r="F82" i="50"/>
  <c r="B80" i="50"/>
  <c r="B81" i="50"/>
  <c r="B82" i="50"/>
  <c r="B79" i="50"/>
  <c r="B72" i="50"/>
  <c r="F67" i="50"/>
  <c r="F68" i="50"/>
  <c r="F69" i="50"/>
  <c r="F70" i="50"/>
  <c r="B67" i="50"/>
  <c r="B68" i="50"/>
  <c r="B69" i="50"/>
  <c r="B70" i="50"/>
  <c r="B66" i="50"/>
  <c r="F63" i="50"/>
  <c r="F64" i="50"/>
  <c r="B61" i="50"/>
  <c r="B62" i="50"/>
  <c r="B63" i="50"/>
  <c r="B64" i="50"/>
  <c r="B60" i="50"/>
  <c r="B127" i="51"/>
  <c r="F124" i="51"/>
  <c r="F125" i="51"/>
  <c r="B122" i="51"/>
  <c r="B123" i="51"/>
  <c r="B124" i="51"/>
  <c r="B125" i="51"/>
  <c r="B121" i="51"/>
  <c r="B78" i="51"/>
  <c r="F66" i="51"/>
  <c r="F67" i="51"/>
  <c r="F68" i="51"/>
  <c r="F69" i="51"/>
  <c r="F61" i="51"/>
  <c r="F62" i="51"/>
  <c r="F63" i="51"/>
  <c r="B71" i="51"/>
  <c r="B66" i="51"/>
  <c r="B67" i="51"/>
  <c r="B68" i="51"/>
  <c r="B69" i="51"/>
  <c r="B65" i="51"/>
  <c r="B62" i="51"/>
  <c r="B63" i="51"/>
  <c r="B60" i="51"/>
  <c r="B61" i="51"/>
  <c r="B59" i="51"/>
  <c r="M46" i="15" l="1"/>
  <c r="F114" i="56" s="1"/>
  <c r="M78" i="15"/>
  <c r="M87" i="15"/>
  <c r="F77" i="53"/>
  <c r="F64" i="53"/>
  <c r="F35" i="53"/>
  <c r="F33" i="53" s="1"/>
  <c r="F58" i="53"/>
  <c r="M171" i="37"/>
  <c r="F122" i="51"/>
  <c r="F123" i="51"/>
  <c r="F125" i="50"/>
  <c r="M119" i="37"/>
  <c r="M118" i="37"/>
  <c r="M81" i="37"/>
  <c r="E10" i="19"/>
  <c r="F6" i="19" s="1"/>
  <c r="B10" i="19"/>
  <c r="C4" i="19" s="1"/>
  <c r="G176" i="37" l="1"/>
  <c r="F122" i="49"/>
  <c r="F121" i="49"/>
  <c r="G49" i="37"/>
  <c r="I176" i="37"/>
  <c r="F134" i="47"/>
  <c r="I49" i="37"/>
  <c r="F130" i="49"/>
  <c r="G68" i="15"/>
  <c r="G70" i="15" s="1"/>
  <c r="F124" i="50"/>
  <c r="F123" i="50"/>
  <c r="H118" i="37"/>
  <c r="C5" i="19"/>
  <c r="D80" i="37"/>
  <c r="C7" i="19"/>
  <c r="F7" i="19"/>
  <c r="L7" i="59"/>
  <c r="C6" i="19"/>
  <c r="L171" i="37"/>
  <c r="H171" i="37"/>
  <c r="J171" i="37"/>
  <c r="F171" i="37"/>
  <c r="D171" i="37"/>
  <c r="L80" i="37"/>
  <c r="F4" i="19"/>
  <c r="F5" i="19"/>
  <c r="M153" i="37"/>
  <c r="F56" i="53"/>
  <c r="J118" i="37"/>
  <c r="F118" i="37"/>
  <c r="L118" i="37"/>
  <c r="M144" i="37"/>
  <c r="L144" i="37" s="1"/>
  <c r="M70" i="37"/>
  <c r="M69" i="37"/>
  <c r="F69" i="37" s="1"/>
  <c r="F61" i="47"/>
  <c r="F61" i="50"/>
  <c r="F127" i="47" l="1"/>
  <c r="F80" i="37"/>
  <c r="E85" i="37" s="1"/>
  <c r="M170" i="37"/>
  <c r="E176" i="37"/>
  <c r="E257" i="37"/>
  <c r="M252" i="37"/>
  <c r="J252" i="37" s="1"/>
  <c r="F252" i="37"/>
  <c r="I146" i="37"/>
  <c r="G146" i="37"/>
  <c r="F134" i="49"/>
  <c r="E49" i="37"/>
  <c r="M44" i="37"/>
  <c r="F44" i="37" s="1"/>
  <c r="M143" i="37"/>
  <c r="F143" i="37" s="1"/>
  <c r="I257" i="37"/>
  <c r="G257" i="37"/>
  <c r="F136" i="50"/>
  <c r="F132" i="50"/>
  <c r="E68" i="15"/>
  <c r="E70" i="15" s="1"/>
  <c r="F130" i="47"/>
  <c r="I68" i="15"/>
  <c r="I70" i="15" s="1"/>
  <c r="M106" i="37"/>
  <c r="M142" i="37"/>
  <c r="D142" i="37" s="1"/>
  <c r="F131" i="51"/>
  <c r="C68" i="15"/>
  <c r="C70" i="15" s="1"/>
  <c r="G73" i="37"/>
  <c r="I73" i="37"/>
  <c r="M141" i="37"/>
  <c r="H141" i="37" s="1"/>
  <c r="E146" i="37"/>
  <c r="L66" i="59"/>
  <c r="F127" i="49"/>
  <c r="J153" i="37"/>
  <c r="I189" i="37"/>
  <c r="G189" i="37"/>
  <c r="L46" i="37"/>
  <c r="L8" i="59"/>
  <c r="L45" i="59" s="1"/>
  <c r="C10" i="19"/>
  <c r="E73" i="37"/>
  <c r="E61" i="37"/>
  <c r="J80" i="37"/>
  <c r="I85" i="37" s="1"/>
  <c r="G61" i="37"/>
  <c r="H80" i="37"/>
  <c r="G85" i="37" s="1"/>
  <c r="F68" i="37"/>
  <c r="H7" i="59"/>
  <c r="H8" i="59"/>
  <c r="M63" i="59"/>
  <c r="N63" i="59" s="1"/>
  <c r="P63" i="59" s="1"/>
  <c r="R63" i="59" s="1"/>
  <c r="J60" i="59"/>
  <c r="J66" i="59" s="1"/>
  <c r="I61" i="37"/>
  <c r="D70" i="37"/>
  <c r="F70" i="37"/>
  <c r="L153" i="37"/>
  <c r="F153" i="37"/>
  <c r="H153" i="37"/>
  <c r="D196" i="37"/>
  <c r="J196" i="37"/>
  <c r="H196" i="37"/>
  <c r="F196" i="37"/>
  <c r="F10" i="19"/>
  <c r="F60" i="51"/>
  <c r="H7" i="37"/>
  <c r="F60" i="49"/>
  <c r="J8" i="37"/>
  <c r="F62" i="50"/>
  <c r="F60" i="47"/>
  <c r="F61" i="49"/>
  <c r="H144" i="37"/>
  <c r="D144" i="37"/>
  <c r="J144" i="37"/>
  <c r="F144" i="37"/>
  <c r="J70" i="37"/>
  <c r="H69" i="37"/>
  <c r="H70" i="37"/>
  <c r="L69" i="37"/>
  <c r="J69" i="37"/>
  <c r="L70" i="37"/>
  <c r="L71" i="37"/>
  <c r="M72" i="37"/>
  <c r="L72" i="37" s="1"/>
  <c r="D69" i="37"/>
  <c r="D46" i="37"/>
  <c r="H46" i="37"/>
  <c r="J46" i="37"/>
  <c r="F46" i="37"/>
  <c r="L45" i="37"/>
  <c r="M31" i="37"/>
  <c r="M19" i="37"/>
  <c r="M6" i="37"/>
  <c r="M12" i="37" s="1"/>
  <c r="K297" i="37"/>
  <c r="F183" i="53" s="1"/>
  <c r="K291" i="37"/>
  <c r="F181" i="53" s="1"/>
  <c r="K285" i="37"/>
  <c r="F179" i="53" s="1"/>
  <c r="F177" i="53"/>
  <c r="K269" i="37"/>
  <c r="F46" i="53" s="1"/>
  <c r="F44" i="53"/>
  <c r="K245" i="37"/>
  <c r="K239" i="37"/>
  <c r="K233" i="37"/>
  <c r="K227" i="37"/>
  <c r="K217" i="37"/>
  <c r="K211" i="37"/>
  <c r="K205" i="37"/>
  <c r="F101" i="53"/>
  <c r="F117" i="53"/>
  <c r="F115" i="53"/>
  <c r="K97" i="37"/>
  <c r="F111" i="53" s="1"/>
  <c r="F109" i="53"/>
  <c r="F107" i="53"/>
  <c r="F105" i="53"/>
  <c r="M37" i="37" l="1"/>
  <c r="J32" i="37"/>
  <c r="H32" i="37"/>
  <c r="F32" i="37"/>
  <c r="D32" i="37"/>
  <c r="F106" i="37"/>
  <c r="D106" i="37"/>
  <c r="D170" i="37"/>
  <c r="J170" i="37"/>
  <c r="F170" i="37"/>
  <c r="L170" i="37"/>
  <c r="H170" i="37"/>
  <c r="L143" i="37"/>
  <c r="J143" i="37"/>
  <c r="H143" i="37"/>
  <c r="D143" i="37"/>
  <c r="L142" i="37"/>
  <c r="J142" i="37"/>
  <c r="F141" i="37"/>
  <c r="L141" i="37"/>
  <c r="K105" i="59"/>
  <c r="M105" i="59" s="1"/>
  <c r="L105" i="59"/>
  <c r="H252" i="37"/>
  <c r="M105" i="37"/>
  <c r="L44" i="37"/>
  <c r="H106" i="37"/>
  <c r="J44" i="37"/>
  <c r="D44" i="37"/>
  <c r="J106" i="37"/>
  <c r="H44" i="37"/>
  <c r="H142" i="37"/>
  <c r="F142" i="37"/>
  <c r="J141" i="37"/>
  <c r="M257" i="37"/>
  <c r="D252" i="37"/>
  <c r="G111" i="37"/>
  <c r="E111" i="37"/>
  <c r="K45" i="59"/>
  <c r="K66" i="59"/>
  <c r="E189" i="37"/>
  <c r="H19" i="37"/>
  <c r="F129" i="50"/>
  <c r="L31" i="37"/>
  <c r="F33" i="37"/>
  <c r="L34" i="37"/>
  <c r="F34" i="37"/>
  <c r="J36" i="37"/>
  <c r="L36" i="37"/>
  <c r="D36" i="37"/>
  <c r="H34" i="37"/>
  <c r="F36" i="37"/>
  <c r="H36" i="37"/>
  <c r="J34" i="37"/>
  <c r="D34" i="37"/>
  <c r="K158" i="59"/>
  <c r="J158" i="59"/>
  <c r="J165" i="59" s="1"/>
  <c r="H158" i="59"/>
  <c r="K159" i="59"/>
  <c r="H159" i="59"/>
  <c r="L159" i="59"/>
  <c r="H161" i="59"/>
  <c r="M161" i="59" s="1"/>
  <c r="L161" i="59"/>
  <c r="K138" i="59"/>
  <c r="H138" i="59"/>
  <c r="L138" i="59"/>
  <c r="H137" i="59"/>
  <c r="L137" i="59"/>
  <c r="K137" i="59"/>
  <c r="K124" i="59"/>
  <c r="J124" i="59"/>
  <c r="J131" i="59" s="1"/>
  <c r="H124" i="59"/>
  <c r="H127" i="59"/>
  <c r="L127" i="59"/>
  <c r="L125" i="59"/>
  <c r="K125" i="59"/>
  <c r="H125" i="59"/>
  <c r="H120" i="59"/>
  <c r="L106" i="59"/>
  <c r="L120" i="59" s="1"/>
  <c r="K106" i="59"/>
  <c r="J93" i="59"/>
  <c r="J99" i="59" s="1"/>
  <c r="H93" i="59"/>
  <c r="L94" i="59"/>
  <c r="L96" i="59"/>
  <c r="K73" i="59"/>
  <c r="K89" i="59" s="1"/>
  <c r="H73" i="59"/>
  <c r="L73" i="59"/>
  <c r="L89" i="59" s="1"/>
  <c r="M7" i="59"/>
  <c r="M60" i="59"/>
  <c r="H68" i="37"/>
  <c r="M68" i="37" s="1"/>
  <c r="H45" i="59"/>
  <c r="M8" i="59"/>
  <c r="H66" i="59"/>
  <c r="M61" i="59"/>
  <c r="N61" i="59" s="1"/>
  <c r="P61" i="59" s="1"/>
  <c r="R61" i="59" s="1"/>
  <c r="J33" i="37"/>
  <c r="L33" i="37"/>
  <c r="H8" i="37"/>
  <c r="H33" i="37"/>
  <c r="D6" i="37"/>
  <c r="L8" i="37"/>
  <c r="L7" i="37"/>
  <c r="D33" i="37"/>
  <c r="J7" i="37"/>
  <c r="F40" i="53"/>
  <c r="F42" i="53"/>
  <c r="F31" i="37"/>
  <c r="J72" i="37"/>
  <c r="H72" i="37"/>
  <c r="D72" i="37"/>
  <c r="F72" i="37"/>
  <c r="J45" i="37"/>
  <c r="H45" i="37"/>
  <c r="F45" i="37"/>
  <c r="D45" i="37"/>
  <c r="J31" i="37"/>
  <c r="H31" i="37"/>
  <c r="J6" i="37"/>
  <c r="M47" i="37" s="1"/>
  <c r="M49" i="37" s="1"/>
  <c r="H6" i="37"/>
  <c r="L6" i="37"/>
  <c r="F6" i="37"/>
  <c r="D8" i="37"/>
  <c r="F8" i="37"/>
  <c r="F7" i="37"/>
  <c r="D7" i="37"/>
  <c r="F19" i="37"/>
  <c r="J19" i="37"/>
  <c r="D19" i="37"/>
  <c r="L19" i="37"/>
  <c r="D105" i="37" l="1"/>
  <c r="J105" i="37"/>
  <c r="H105" i="37"/>
  <c r="F105" i="37"/>
  <c r="K120" i="59"/>
  <c r="J168" i="59"/>
  <c r="M66" i="59"/>
  <c r="K99" i="59"/>
  <c r="L131" i="59"/>
  <c r="M45" i="59"/>
  <c r="L99" i="59"/>
  <c r="K154" i="59"/>
  <c r="L165" i="59"/>
  <c r="K131" i="59"/>
  <c r="L154" i="59"/>
  <c r="K165" i="59"/>
  <c r="L68" i="37"/>
  <c r="M73" i="37"/>
  <c r="N105" i="59"/>
  <c r="N60" i="59"/>
  <c r="N66" i="59" s="1"/>
  <c r="N7" i="59"/>
  <c r="C49" i="37"/>
  <c r="F81" i="51"/>
  <c r="F83" i="51"/>
  <c r="H154" i="59"/>
  <c r="M138" i="59"/>
  <c r="N138" i="59" s="1"/>
  <c r="P138" i="59" s="1"/>
  <c r="R138" i="59" s="1"/>
  <c r="M158" i="59"/>
  <c r="H131" i="59"/>
  <c r="M159" i="59"/>
  <c r="N159" i="59" s="1"/>
  <c r="P159" i="59" s="1"/>
  <c r="R159" i="59" s="1"/>
  <c r="N161" i="59"/>
  <c r="P161" i="59" s="1"/>
  <c r="R161" i="59" s="1"/>
  <c r="M137" i="59"/>
  <c r="M125" i="59"/>
  <c r="N125" i="59" s="1"/>
  <c r="P125" i="59" s="1"/>
  <c r="R125" i="59" s="1"/>
  <c r="M124" i="59"/>
  <c r="M127" i="59"/>
  <c r="N127" i="59" s="1"/>
  <c r="P127" i="59" s="1"/>
  <c r="R127" i="59" s="1"/>
  <c r="H99" i="59"/>
  <c r="M106" i="59"/>
  <c r="N106" i="59" s="1"/>
  <c r="P106" i="59" s="1"/>
  <c r="R106" i="59" s="1"/>
  <c r="M94" i="59"/>
  <c r="N94" i="59" s="1"/>
  <c r="P94" i="59" s="1"/>
  <c r="R94" i="59" s="1"/>
  <c r="M73" i="59"/>
  <c r="M89" i="59" s="1"/>
  <c r="M93" i="59"/>
  <c r="M96" i="59"/>
  <c r="N96" i="59" s="1"/>
  <c r="P96" i="59" s="1"/>
  <c r="R96" i="59" s="1"/>
  <c r="H89" i="59"/>
  <c r="H165" i="59"/>
  <c r="J68" i="37"/>
  <c r="D68" i="37"/>
  <c r="N8" i="59"/>
  <c r="M165" i="59" l="1"/>
  <c r="K168" i="59"/>
  <c r="M120" i="59"/>
  <c r="M131" i="59"/>
  <c r="L168" i="59"/>
  <c r="P7" i="59"/>
  <c r="N45" i="59"/>
  <c r="M99" i="59"/>
  <c r="M154" i="59"/>
  <c r="H168" i="59"/>
  <c r="N120" i="59"/>
  <c r="L47" i="37"/>
  <c r="J47" i="37"/>
  <c r="F47" i="37"/>
  <c r="H47" i="37"/>
  <c r="D47" i="37"/>
  <c r="P60" i="59"/>
  <c r="P66" i="59" s="1"/>
  <c r="N158" i="59"/>
  <c r="N165" i="59" s="1"/>
  <c r="N124" i="59"/>
  <c r="N131" i="59" s="1"/>
  <c r="P105" i="59"/>
  <c r="P120" i="59" s="1"/>
  <c r="N93" i="59"/>
  <c r="N99" i="59" s="1"/>
  <c r="N73" i="59"/>
  <c r="N89" i="59" s="1"/>
  <c r="N137" i="59"/>
  <c r="N154" i="59" s="1"/>
  <c r="P8" i="59"/>
  <c r="G169" i="14"/>
  <c r="O169" i="14" s="1"/>
  <c r="M173" i="37"/>
  <c r="G203" i="14"/>
  <c r="O203" i="14" s="1"/>
  <c r="P203" i="14" s="1"/>
  <c r="G202" i="14"/>
  <c r="G201" i="14"/>
  <c r="O201" i="14" s="1"/>
  <c r="S201" i="14" s="1"/>
  <c r="G200" i="14"/>
  <c r="O200" i="14" s="1"/>
  <c r="S200" i="14" s="1"/>
  <c r="G199" i="14"/>
  <c r="O199" i="14" s="1"/>
  <c r="R199" i="14" s="1"/>
  <c r="G198" i="14"/>
  <c r="O198" i="14" s="1"/>
  <c r="Q198" i="14" s="1"/>
  <c r="G197" i="14"/>
  <c r="O197" i="14" s="1"/>
  <c r="G196" i="14"/>
  <c r="O196" i="14" s="1"/>
  <c r="Q196" i="14" s="1"/>
  <c r="G195" i="14"/>
  <c r="O195" i="14" s="1"/>
  <c r="R195" i="14" s="1"/>
  <c r="O194" i="14"/>
  <c r="Q194" i="14" s="1"/>
  <c r="G193" i="14"/>
  <c r="O193" i="14" s="1"/>
  <c r="G192" i="14"/>
  <c r="O192" i="14" s="1"/>
  <c r="Q192" i="14" s="1"/>
  <c r="G191" i="14"/>
  <c r="O191" i="14" s="1"/>
  <c r="R191" i="14" s="1"/>
  <c r="G190" i="14"/>
  <c r="O190" i="14" s="1"/>
  <c r="Q190" i="14" s="1"/>
  <c r="G189" i="14"/>
  <c r="O189" i="14" s="1"/>
  <c r="G188" i="14"/>
  <c r="O188" i="14" s="1"/>
  <c r="Q188" i="14" s="1"/>
  <c r="G187" i="14"/>
  <c r="O187" i="14" s="1"/>
  <c r="R187" i="14" s="1"/>
  <c r="G186" i="14"/>
  <c r="O186" i="14" s="1"/>
  <c r="Q186" i="14" s="1"/>
  <c r="G185" i="14"/>
  <c r="O185" i="14" s="1"/>
  <c r="G184" i="14"/>
  <c r="O184" i="14" s="1"/>
  <c r="Q184" i="14" s="1"/>
  <c r="G183" i="14"/>
  <c r="O183" i="14" s="1"/>
  <c r="R183" i="14" s="1"/>
  <c r="G182" i="14"/>
  <c r="O182" i="14" s="1"/>
  <c r="Q182" i="14" s="1"/>
  <c r="G181" i="14"/>
  <c r="G180" i="14"/>
  <c r="O180" i="14" s="1"/>
  <c r="R180" i="14" s="1"/>
  <c r="G179" i="14"/>
  <c r="O179" i="14" s="1"/>
  <c r="Q179" i="14" s="1"/>
  <c r="G178" i="14"/>
  <c r="O178" i="14" s="1"/>
  <c r="R178" i="14" s="1"/>
  <c r="G177" i="14"/>
  <c r="O177" i="14" s="1"/>
  <c r="G176" i="14"/>
  <c r="O176" i="14" s="1"/>
  <c r="R176" i="14" s="1"/>
  <c r="G175" i="14"/>
  <c r="O175" i="14" s="1"/>
  <c r="Q175" i="14" s="1"/>
  <c r="G174" i="14"/>
  <c r="O174" i="14" s="1"/>
  <c r="R174" i="14" s="1"/>
  <c r="G173" i="14"/>
  <c r="O173" i="14" s="1"/>
  <c r="G172" i="14"/>
  <c r="O172" i="14" s="1"/>
  <c r="R172" i="14" s="1"/>
  <c r="G171" i="14"/>
  <c r="O171" i="14" s="1"/>
  <c r="Q171" i="14" s="1"/>
  <c r="G170" i="14"/>
  <c r="O170" i="14" s="1"/>
  <c r="R170" i="14" s="1"/>
  <c r="G168" i="14"/>
  <c r="O168" i="14" s="1"/>
  <c r="G167" i="14"/>
  <c r="O167" i="14" s="1"/>
  <c r="R167" i="14" s="1"/>
  <c r="G166" i="14"/>
  <c r="O166" i="14" s="1"/>
  <c r="Q166" i="14" s="1"/>
  <c r="G165" i="14"/>
  <c r="O165" i="14" s="1"/>
  <c r="Q165" i="14" s="1"/>
  <c r="G164" i="14"/>
  <c r="O164" i="14" s="1"/>
  <c r="P164" i="14" s="1"/>
  <c r="G163" i="14"/>
  <c r="O163" i="14" s="1"/>
  <c r="P163" i="14" s="1"/>
  <c r="G162" i="14"/>
  <c r="O162" i="14" s="1"/>
  <c r="S162" i="14" s="1"/>
  <c r="G161" i="14"/>
  <c r="O161" i="14" s="1"/>
  <c r="R161" i="14" s="1"/>
  <c r="G160" i="14"/>
  <c r="O160" i="14" s="1"/>
  <c r="P160" i="14" s="1"/>
  <c r="G159" i="14"/>
  <c r="O159" i="14" s="1"/>
  <c r="Q159" i="14" s="1"/>
  <c r="G158" i="14"/>
  <c r="O158" i="14" s="1"/>
  <c r="Q158" i="14" s="1"/>
  <c r="G157" i="14"/>
  <c r="O157" i="14" s="1"/>
  <c r="Q157" i="14" s="1"/>
  <c r="G156" i="14"/>
  <c r="G155" i="14"/>
  <c r="O155" i="14" s="1"/>
  <c r="P155" i="14" s="1"/>
  <c r="G154" i="14"/>
  <c r="O154" i="14" s="1"/>
  <c r="P154" i="14" s="1"/>
  <c r="G153" i="14"/>
  <c r="O153" i="14" s="1"/>
  <c r="P153" i="14" s="1"/>
  <c r="G152" i="14"/>
  <c r="O152" i="14" s="1"/>
  <c r="G151" i="14"/>
  <c r="O151" i="14" s="1"/>
  <c r="R151" i="14" s="1"/>
  <c r="G150" i="14"/>
  <c r="I150" i="14" s="1"/>
  <c r="G5" i="14"/>
  <c r="G121" i="14"/>
  <c r="O121" i="14" s="1"/>
  <c r="P121" i="14" s="1"/>
  <c r="G122" i="14"/>
  <c r="O122" i="14" s="1"/>
  <c r="Q122" i="14" s="1"/>
  <c r="G123" i="14"/>
  <c r="O123" i="14" s="1"/>
  <c r="Q123" i="14" s="1"/>
  <c r="G124" i="14"/>
  <c r="O124" i="14" s="1"/>
  <c r="Q124" i="14" s="1"/>
  <c r="G125" i="14"/>
  <c r="O125" i="14" s="1"/>
  <c r="R125" i="14" s="1"/>
  <c r="G126" i="14"/>
  <c r="O126" i="14" s="1"/>
  <c r="P126" i="14" s="1"/>
  <c r="G127" i="14"/>
  <c r="O127" i="14" s="1"/>
  <c r="Q127" i="14" s="1"/>
  <c r="G128" i="14"/>
  <c r="O128" i="14" s="1"/>
  <c r="Q128" i="14" s="1"/>
  <c r="G129" i="14"/>
  <c r="O129" i="14" s="1"/>
  <c r="R129" i="14" s="1"/>
  <c r="G130" i="14"/>
  <c r="O130" i="14" s="1"/>
  <c r="S130" i="14" s="1"/>
  <c r="G131" i="14"/>
  <c r="O131" i="14" s="1"/>
  <c r="R131" i="14" s="1"/>
  <c r="G132" i="14"/>
  <c r="O132" i="14" s="1"/>
  <c r="Q132" i="14" s="1"/>
  <c r="G133" i="14"/>
  <c r="O133" i="14" s="1"/>
  <c r="R133" i="14" s="1"/>
  <c r="G134" i="14"/>
  <c r="O134" i="14" s="1"/>
  <c r="P134" i="14" s="1"/>
  <c r="G135" i="14"/>
  <c r="G136" i="14"/>
  <c r="O136" i="14" s="1"/>
  <c r="P136" i="14" s="1"/>
  <c r="G137" i="14"/>
  <c r="O137" i="14" s="1"/>
  <c r="P137" i="14" s="1"/>
  <c r="G138" i="14"/>
  <c r="O138" i="14" s="1"/>
  <c r="T138" i="14" s="1"/>
  <c r="G139" i="14"/>
  <c r="O139" i="14" s="1"/>
  <c r="R139" i="14" s="1"/>
  <c r="G140" i="14"/>
  <c r="O140" i="14" s="1"/>
  <c r="P140" i="14" s="1"/>
  <c r="G141" i="14"/>
  <c r="O141" i="14" s="1"/>
  <c r="S141" i="14" s="1"/>
  <c r="G142" i="14"/>
  <c r="O142" i="14" s="1"/>
  <c r="P142" i="14" s="1"/>
  <c r="G143" i="14"/>
  <c r="O143" i="14" s="1"/>
  <c r="Q143" i="14" s="1"/>
  <c r="G144" i="14"/>
  <c r="O144" i="14" s="1"/>
  <c r="P144" i="14" s="1"/>
  <c r="G145" i="14"/>
  <c r="O145" i="14" s="1"/>
  <c r="P145" i="14" s="1"/>
  <c r="G146" i="14"/>
  <c r="O146" i="14" s="1"/>
  <c r="G147" i="14"/>
  <c r="O147" i="14" s="1"/>
  <c r="R147" i="14" s="1"/>
  <c r="G148" i="14"/>
  <c r="O148" i="14" s="1"/>
  <c r="R148" i="14" s="1"/>
  <c r="G149" i="14"/>
  <c r="O149" i="14" s="1"/>
  <c r="Q149" i="14" s="1"/>
  <c r="G14" i="14"/>
  <c r="G15" i="14"/>
  <c r="I15" i="14" s="1"/>
  <c r="O16" i="14"/>
  <c r="Q16" i="14" s="1"/>
  <c r="G17" i="14"/>
  <c r="O17" i="14" s="1"/>
  <c r="S17" i="14" s="1"/>
  <c r="O18" i="14"/>
  <c r="O19" i="14"/>
  <c r="Q19" i="14" s="1"/>
  <c r="G20" i="14"/>
  <c r="O20" i="14" s="1"/>
  <c r="Q20" i="14" s="1"/>
  <c r="G21" i="14"/>
  <c r="O21" i="14" s="1"/>
  <c r="S21" i="14" s="1"/>
  <c r="G22" i="14"/>
  <c r="O22" i="14" s="1"/>
  <c r="P22" i="14" s="1"/>
  <c r="G23" i="14"/>
  <c r="O23" i="14" s="1"/>
  <c r="S23" i="14" s="1"/>
  <c r="G24" i="14"/>
  <c r="O24" i="14" s="1"/>
  <c r="R24" i="14" s="1"/>
  <c r="G25" i="14"/>
  <c r="O25" i="14" s="1"/>
  <c r="Q25" i="14" s="1"/>
  <c r="G26" i="14"/>
  <c r="O26" i="14" s="1"/>
  <c r="Q26" i="14" s="1"/>
  <c r="G27" i="14"/>
  <c r="O27" i="14" s="1"/>
  <c r="Q27" i="14" s="1"/>
  <c r="G28" i="14"/>
  <c r="O28" i="14" s="1"/>
  <c r="Q28" i="14" s="1"/>
  <c r="G29" i="14"/>
  <c r="O29" i="14" s="1"/>
  <c r="Q29" i="14" s="1"/>
  <c r="G30" i="14"/>
  <c r="O30" i="14" s="1"/>
  <c r="Q30" i="14" s="1"/>
  <c r="G31" i="14"/>
  <c r="O31" i="14" s="1"/>
  <c r="P31" i="14" s="1"/>
  <c r="G32" i="14"/>
  <c r="O32" i="14" s="1"/>
  <c r="P32" i="14" s="1"/>
  <c r="G33" i="14"/>
  <c r="O33" i="14" s="1"/>
  <c r="P33" i="14" s="1"/>
  <c r="G34" i="14"/>
  <c r="O34" i="14" s="1"/>
  <c r="Q34" i="14" s="1"/>
  <c r="G35" i="14"/>
  <c r="O35" i="14" s="1"/>
  <c r="Q35" i="14" s="1"/>
  <c r="G36" i="14"/>
  <c r="O36" i="14" s="1"/>
  <c r="Q36" i="14" s="1"/>
  <c r="G37" i="14"/>
  <c r="O37" i="14" s="1"/>
  <c r="P37" i="14" s="1"/>
  <c r="G38" i="14"/>
  <c r="O38" i="14" s="1"/>
  <c r="P38" i="14" s="1"/>
  <c r="G39" i="14"/>
  <c r="O39" i="14" s="1"/>
  <c r="Q39" i="14" s="1"/>
  <c r="G40" i="14"/>
  <c r="O40" i="14" s="1"/>
  <c r="R40" i="14" s="1"/>
  <c r="G41" i="14"/>
  <c r="O41" i="14" s="1"/>
  <c r="Q41" i="14" s="1"/>
  <c r="G42" i="14"/>
  <c r="O42" i="14" s="1"/>
  <c r="P42" i="14" s="1"/>
  <c r="G43" i="14"/>
  <c r="O43" i="14" s="1"/>
  <c r="Q43" i="14" s="1"/>
  <c r="G44" i="14"/>
  <c r="O44" i="14" s="1"/>
  <c r="P44" i="14" s="1"/>
  <c r="G45" i="14"/>
  <c r="O45" i="14" s="1"/>
  <c r="P45" i="14" s="1"/>
  <c r="G46" i="14"/>
  <c r="O46" i="14" s="1"/>
  <c r="G47" i="14"/>
  <c r="O47" i="14" s="1"/>
  <c r="P47" i="14" s="1"/>
  <c r="G48" i="14"/>
  <c r="O48" i="14" s="1"/>
  <c r="P48" i="14" s="1"/>
  <c r="G49" i="14"/>
  <c r="O49" i="14" s="1"/>
  <c r="P49" i="14" s="1"/>
  <c r="G50" i="14"/>
  <c r="O50" i="14" s="1"/>
  <c r="P50" i="14" s="1"/>
  <c r="G51" i="14"/>
  <c r="O51" i="14" s="1"/>
  <c r="R51" i="14" s="1"/>
  <c r="G52" i="14"/>
  <c r="O52" i="14" s="1"/>
  <c r="P52" i="14" s="1"/>
  <c r="G53" i="14"/>
  <c r="O53" i="14" s="1"/>
  <c r="Q53" i="14" s="1"/>
  <c r="G54" i="14"/>
  <c r="O54" i="14" s="1"/>
  <c r="Q54" i="14" s="1"/>
  <c r="G55" i="14"/>
  <c r="O55" i="14" s="1"/>
  <c r="Q55" i="14" s="1"/>
  <c r="G56" i="14"/>
  <c r="O56" i="14" s="1"/>
  <c r="Q56" i="14" s="1"/>
  <c r="G57" i="14"/>
  <c r="O57" i="14" s="1"/>
  <c r="P57" i="14" s="1"/>
  <c r="G58" i="14"/>
  <c r="O58" i="14" s="1"/>
  <c r="R58" i="14" s="1"/>
  <c r="G59" i="14"/>
  <c r="O59" i="14" s="1"/>
  <c r="S59" i="14" s="1"/>
  <c r="G60" i="14"/>
  <c r="O60" i="14" s="1"/>
  <c r="Q60" i="14" s="1"/>
  <c r="G61" i="14"/>
  <c r="O61" i="14" s="1"/>
  <c r="P61" i="14" s="1"/>
  <c r="G62" i="14"/>
  <c r="O62" i="14" s="1"/>
  <c r="G63" i="14"/>
  <c r="O63" i="14" s="1"/>
  <c r="S63" i="14" s="1"/>
  <c r="G64" i="14"/>
  <c r="O64" i="14" s="1"/>
  <c r="R64" i="14" s="1"/>
  <c r="G65" i="14"/>
  <c r="O65" i="14" s="1"/>
  <c r="P65" i="14" s="1"/>
  <c r="G66" i="14"/>
  <c r="O66" i="14" s="1"/>
  <c r="R66" i="14" s="1"/>
  <c r="G67" i="14"/>
  <c r="O67" i="14" s="1"/>
  <c r="P67" i="14" s="1"/>
  <c r="G68" i="14"/>
  <c r="O68" i="14" s="1"/>
  <c r="Q68" i="14" s="1"/>
  <c r="G69" i="14"/>
  <c r="O69" i="14" s="1"/>
  <c r="S69" i="14" s="1"/>
  <c r="G70" i="14"/>
  <c r="O70" i="14" s="1"/>
  <c r="S70" i="14" s="1"/>
  <c r="G71" i="14"/>
  <c r="O71" i="14" s="1"/>
  <c r="Q71" i="14" s="1"/>
  <c r="G72" i="14"/>
  <c r="O72" i="14" s="1"/>
  <c r="Q72" i="14" s="1"/>
  <c r="G73" i="14"/>
  <c r="O73" i="14" s="1"/>
  <c r="R73" i="14" s="1"/>
  <c r="G74" i="14"/>
  <c r="O74" i="14" s="1"/>
  <c r="P74" i="14" s="1"/>
  <c r="G75" i="14"/>
  <c r="O75" i="14" s="1"/>
  <c r="P75" i="14" s="1"/>
  <c r="G76" i="14"/>
  <c r="O76" i="14" s="1"/>
  <c r="S76" i="14" s="1"/>
  <c r="G77" i="14"/>
  <c r="O77" i="14" s="1"/>
  <c r="Q77" i="14" s="1"/>
  <c r="G78" i="14"/>
  <c r="O78" i="14" s="1"/>
  <c r="G79" i="14"/>
  <c r="O79" i="14" s="1"/>
  <c r="P79" i="14" s="1"/>
  <c r="G80" i="14"/>
  <c r="O80" i="14" s="1"/>
  <c r="R80" i="14" s="1"/>
  <c r="G81" i="14"/>
  <c r="O81" i="14" s="1"/>
  <c r="Q81" i="14" s="1"/>
  <c r="G82" i="14"/>
  <c r="O82" i="14" s="1"/>
  <c r="R82" i="14" s="1"/>
  <c r="G83" i="14"/>
  <c r="O83" i="14" s="1"/>
  <c r="P83" i="14" s="1"/>
  <c r="G84" i="14"/>
  <c r="O84" i="14" s="1"/>
  <c r="P84" i="14" s="1"/>
  <c r="G85" i="14"/>
  <c r="O85" i="14" s="1"/>
  <c r="P85" i="14" s="1"/>
  <c r="G86" i="14"/>
  <c r="O86" i="14" s="1"/>
  <c r="P86" i="14" s="1"/>
  <c r="G87" i="14"/>
  <c r="O87" i="14" s="1"/>
  <c r="P87" i="14" s="1"/>
  <c r="G88" i="14"/>
  <c r="O88" i="14" s="1"/>
  <c r="P88" i="14" s="1"/>
  <c r="G89" i="14"/>
  <c r="O89" i="14" s="1"/>
  <c r="R89" i="14" s="1"/>
  <c r="G90" i="14"/>
  <c r="O90" i="14" s="1"/>
  <c r="G91" i="14"/>
  <c r="I91" i="14" s="1"/>
  <c r="G92" i="14"/>
  <c r="O92" i="14" s="1"/>
  <c r="Q92" i="14" s="1"/>
  <c r="G93" i="14"/>
  <c r="O93" i="14" s="1"/>
  <c r="Q93" i="14" s="1"/>
  <c r="G94" i="14"/>
  <c r="O94" i="14" s="1"/>
  <c r="G95" i="14"/>
  <c r="O95" i="14" s="1"/>
  <c r="S95" i="14" s="1"/>
  <c r="G96" i="14"/>
  <c r="O96" i="14" s="1"/>
  <c r="R96" i="14" s="1"/>
  <c r="G97" i="14"/>
  <c r="O97" i="14" s="1"/>
  <c r="P97" i="14" s="1"/>
  <c r="G98" i="14"/>
  <c r="O98" i="14" s="1"/>
  <c r="G99" i="14"/>
  <c r="O99" i="14" s="1"/>
  <c r="S99" i="14" s="1"/>
  <c r="G100" i="14"/>
  <c r="O100" i="14" s="1"/>
  <c r="Q100" i="14" s="1"/>
  <c r="G101" i="14"/>
  <c r="O101" i="14" s="1"/>
  <c r="R101" i="14" s="1"/>
  <c r="G102" i="14"/>
  <c r="O102" i="14" s="1"/>
  <c r="R102" i="14" s="1"/>
  <c r="G103" i="14"/>
  <c r="O103" i="14" s="1"/>
  <c r="R103" i="14" s="1"/>
  <c r="G104" i="14"/>
  <c r="O104" i="14" s="1"/>
  <c r="P104" i="14" s="1"/>
  <c r="G105" i="14"/>
  <c r="O105" i="14" s="1"/>
  <c r="Q105" i="14" s="1"/>
  <c r="G106" i="14"/>
  <c r="O106" i="14" s="1"/>
  <c r="G107" i="14"/>
  <c r="O107" i="14" s="1"/>
  <c r="Q107" i="14" s="1"/>
  <c r="G108" i="14"/>
  <c r="O108" i="14" s="1"/>
  <c r="R108" i="14" s="1"/>
  <c r="G109" i="14"/>
  <c r="O109" i="14" s="1"/>
  <c r="Q109" i="14" s="1"/>
  <c r="F143" i="53"/>
  <c r="O135" i="14" l="1"/>
  <c r="R135" i="14" s="1"/>
  <c r="P45" i="59"/>
  <c r="F100" i="51" s="1"/>
  <c r="M168" i="59"/>
  <c r="R7" i="59"/>
  <c r="N168" i="59"/>
  <c r="F98" i="51"/>
  <c r="F97" i="49"/>
  <c r="O5" i="14"/>
  <c r="P5" i="14" s="1"/>
  <c r="P7" i="14" s="1"/>
  <c r="R60" i="59"/>
  <c r="R66" i="59" s="1"/>
  <c r="P158" i="59"/>
  <c r="P165" i="59" s="1"/>
  <c r="R105" i="59"/>
  <c r="R120" i="59" s="1"/>
  <c r="P124" i="59"/>
  <c r="P131" i="59" s="1"/>
  <c r="F99" i="50"/>
  <c r="P93" i="59"/>
  <c r="P99" i="59" s="1"/>
  <c r="P73" i="59"/>
  <c r="P89" i="59" s="1"/>
  <c r="O14" i="14"/>
  <c r="P14" i="14" s="1"/>
  <c r="P137" i="59"/>
  <c r="P154" i="59" s="1"/>
  <c r="R41" i="14"/>
  <c r="Q96" i="14"/>
  <c r="R105" i="14"/>
  <c r="R8" i="59"/>
  <c r="Q141" i="14"/>
  <c r="Q172" i="14"/>
  <c r="R192" i="14"/>
  <c r="R198" i="14"/>
  <c r="R196" i="14"/>
  <c r="R194" i="14"/>
  <c r="R190" i="14"/>
  <c r="R188" i="14"/>
  <c r="R186" i="14"/>
  <c r="R184" i="14"/>
  <c r="R182" i="14"/>
  <c r="Q180" i="14"/>
  <c r="Q178" i="14"/>
  <c r="Q176" i="14"/>
  <c r="Q174" i="14"/>
  <c r="Q170" i="14"/>
  <c r="J169" i="14"/>
  <c r="Q167" i="14"/>
  <c r="Q162" i="14"/>
  <c r="S157" i="14"/>
  <c r="Q148" i="14"/>
  <c r="Q135" i="14"/>
  <c r="R132" i="14"/>
  <c r="P129" i="14"/>
  <c r="R109" i="14"/>
  <c r="R107" i="14"/>
  <c r="Q103" i="14"/>
  <c r="R100" i="14"/>
  <c r="Q99" i="14"/>
  <c r="Q89" i="14"/>
  <c r="Q80" i="14"/>
  <c r="R77" i="14"/>
  <c r="R68" i="14"/>
  <c r="R60" i="14"/>
  <c r="Q51" i="14"/>
  <c r="S39" i="14"/>
  <c r="R16" i="14"/>
  <c r="S98" i="14"/>
  <c r="R98" i="14"/>
  <c r="P98" i="14"/>
  <c r="Q62" i="14"/>
  <c r="R62" i="14"/>
  <c r="Q46" i="14"/>
  <c r="R46" i="14"/>
  <c r="Q18" i="14"/>
  <c r="R18" i="14"/>
  <c r="R146" i="14"/>
  <c r="Q146" i="14"/>
  <c r="R152" i="14"/>
  <c r="P152" i="14"/>
  <c r="Q152" i="14"/>
  <c r="S152" i="14"/>
  <c r="O156" i="14"/>
  <c r="I156" i="14"/>
  <c r="J156" i="14"/>
  <c r="Q168" i="14"/>
  <c r="R168" i="14"/>
  <c r="Q173" i="14"/>
  <c r="R173" i="14"/>
  <c r="Q177" i="14"/>
  <c r="R177" i="14"/>
  <c r="O181" i="14"/>
  <c r="J181" i="14"/>
  <c r="R185" i="14"/>
  <c r="Q185" i="14"/>
  <c r="R189" i="14"/>
  <c r="Q189" i="14"/>
  <c r="R193" i="14"/>
  <c r="Q193" i="14"/>
  <c r="R197" i="14"/>
  <c r="Q197" i="14"/>
  <c r="R106" i="14"/>
  <c r="Q106" i="14"/>
  <c r="R94" i="14"/>
  <c r="Q94" i="14"/>
  <c r="Q98" i="14"/>
  <c r="Q58" i="14"/>
  <c r="T8" i="14"/>
  <c r="Q90" i="14"/>
  <c r="R90" i="14"/>
  <c r="R78" i="14"/>
  <c r="Q78" i="14"/>
  <c r="Q66" i="14"/>
  <c r="Q82" i="14"/>
  <c r="R39" i="14"/>
  <c r="R43" i="14"/>
  <c r="S73" i="14"/>
  <c r="R81" i="14"/>
  <c r="R92" i="14"/>
  <c r="P99" i="14"/>
  <c r="R124" i="14"/>
  <c r="S129" i="14"/>
  <c r="S147" i="14"/>
  <c r="R149" i="14"/>
  <c r="S151" i="14"/>
  <c r="R157" i="14"/>
  <c r="R159" i="14"/>
  <c r="S161" i="14"/>
  <c r="R166" i="14"/>
  <c r="R171" i="14"/>
  <c r="R175" i="14"/>
  <c r="R179" i="14"/>
  <c r="O202" i="14"/>
  <c r="K202" i="14"/>
  <c r="H202" i="14"/>
  <c r="Q24" i="14"/>
  <c r="P39" i="14"/>
  <c r="Q40" i="14"/>
  <c r="Q64" i="14"/>
  <c r="Q73" i="14"/>
  <c r="R99" i="14"/>
  <c r="Q101" i="14"/>
  <c r="Q108" i="14"/>
  <c r="Q129" i="14"/>
  <c r="Q131" i="14"/>
  <c r="Q133" i="14"/>
  <c r="Q139" i="14"/>
  <c r="R141" i="14"/>
  <c r="Q147" i="14"/>
  <c r="Q151" i="14"/>
  <c r="Q161" i="14"/>
  <c r="R162" i="14"/>
  <c r="Q183" i="14"/>
  <c r="Q187" i="14"/>
  <c r="Q191" i="14"/>
  <c r="Q195" i="14"/>
  <c r="Q199" i="14"/>
  <c r="Q169" i="14"/>
  <c r="R169" i="14"/>
  <c r="I169" i="14"/>
  <c r="T245" i="14"/>
  <c r="F151" i="53" s="1"/>
  <c r="K5" i="14"/>
  <c r="K7" i="14" s="1"/>
  <c r="J5" i="14"/>
  <c r="J7" i="14" s="1"/>
  <c r="I5" i="14"/>
  <c r="I7" i="14" s="1"/>
  <c r="H5" i="14"/>
  <c r="H7" i="14" s="1"/>
  <c r="I191" i="14"/>
  <c r="H33" i="14"/>
  <c r="H160" i="14"/>
  <c r="K151" i="14"/>
  <c r="I159" i="14"/>
  <c r="I172" i="14"/>
  <c r="I180" i="14"/>
  <c r="I187" i="14"/>
  <c r="I195" i="14"/>
  <c r="I122" i="14"/>
  <c r="J141" i="14"/>
  <c r="H32" i="14"/>
  <c r="H155" i="14"/>
  <c r="J151" i="14"/>
  <c r="K156" i="14"/>
  <c r="J168" i="14"/>
  <c r="J176" i="14"/>
  <c r="J184" i="14"/>
  <c r="J192" i="14"/>
  <c r="H203" i="14"/>
  <c r="K130" i="14"/>
  <c r="H145" i="14"/>
  <c r="J149" i="14"/>
  <c r="K152" i="14"/>
  <c r="I168" i="14"/>
  <c r="I176" i="14"/>
  <c r="I183" i="14"/>
  <c r="I199" i="14"/>
  <c r="H129" i="14"/>
  <c r="H137" i="14"/>
  <c r="I149" i="14"/>
  <c r="J152" i="14"/>
  <c r="H163" i="14"/>
  <c r="J172" i="14"/>
  <c r="J180" i="14"/>
  <c r="J188" i="14"/>
  <c r="J196" i="14"/>
  <c r="J125" i="14"/>
  <c r="O150" i="14"/>
  <c r="Q150" i="14" s="1"/>
  <c r="H31" i="14"/>
  <c r="H38" i="14"/>
  <c r="H47" i="14"/>
  <c r="H52" i="14"/>
  <c r="H67" i="14"/>
  <c r="H83" i="14"/>
  <c r="H88" i="14"/>
  <c r="H134" i="14"/>
  <c r="H142" i="14"/>
  <c r="H154" i="14"/>
  <c r="I151" i="14"/>
  <c r="I152" i="14"/>
  <c r="K157" i="14"/>
  <c r="I161" i="14"/>
  <c r="J162" i="14"/>
  <c r="I165" i="14"/>
  <c r="J167" i="14"/>
  <c r="J171" i="14"/>
  <c r="J173" i="14"/>
  <c r="J175" i="14"/>
  <c r="J177" i="14"/>
  <c r="J179" i="14"/>
  <c r="I182" i="14"/>
  <c r="I184" i="14"/>
  <c r="I186" i="14"/>
  <c r="I188" i="14"/>
  <c r="I190" i="14"/>
  <c r="I192" i="14"/>
  <c r="I194" i="14"/>
  <c r="I196" i="14"/>
  <c r="I198" i="14"/>
  <c r="K200" i="14"/>
  <c r="J202" i="14"/>
  <c r="J16" i="14"/>
  <c r="J24" i="14"/>
  <c r="I41" i="14"/>
  <c r="I46" i="14"/>
  <c r="I53" i="14"/>
  <c r="I58" i="14"/>
  <c r="K59" i="14"/>
  <c r="I64" i="14"/>
  <c r="I68" i="14"/>
  <c r="I71" i="14"/>
  <c r="K73" i="14"/>
  <c r="I78" i="14"/>
  <c r="I81" i="14"/>
  <c r="H87" i="14"/>
  <c r="J90" i="14"/>
  <c r="J92" i="14"/>
  <c r="I96" i="14"/>
  <c r="I98" i="14"/>
  <c r="I99" i="14"/>
  <c r="J100" i="14"/>
  <c r="I103" i="14"/>
  <c r="I106" i="14"/>
  <c r="I108" i="14"/>
  <c r="I124" i="14"/>
  <c r="I127" i="14"/>
  <c r="J129" i="14"/>
  <c r="J131" i="14"/>
  <c r="J133" i="14"/>
  <c r="J139" i="14"/>
  <c r="I143" i="14"/>
  <c r="J147" i="14"/>
  <c r="H22" i="14"/>
  <c r="H37" i="14"/>
  <c r="H45" i="14"/>
  <c r="H50" i="14"/>
  <c r="H65" i="14"/>
  <c r="H79" i="14"/>
  <c r="H86" i="14"/>
  <c r="H121" i="14"/>
  <c r="H140" i="14"/>
  <c r="H153" i="14"/>
  <c r="L138" i="14"/>
  <c r="L245" i="14" s="1"/>
  <c r="F145" i="53" s="1"/>
  <c r="H145" i="53" s="1"/>
  <c r="H152" i="14"/>
  <c r="J157" i="14"/>
  <c r="J159" i="14"/>
  <c r="I162" i="14"/>
  <c r="H164" i="14"/>
  <c r="I167" i="14"/>
  <c r="I171" i="14"/>
  <c r="I173" i="14"/>
  <c r="I175" i="14"/>
  <c r="I177" i="14"/>
  <c r="I179" i="14"/>
  <c r="I181" i="14"/>
  <c r="J183" i="14"/>
  <c r="J185" i="14"/>
  <c r="J187" i="14"/>
  <c r="J189" i="14"/>
  <c r="J191" i="14"/>
  <c r="J193" i="14"/>
  <c r="J195" i="14"/>
  <c r="J197" i="14"/>
  <c r="J199" i="14"/>
  <c r="I202" i="14"/>
  <c r="I16" i="14"/>
  <c r="I24" i="14"/>
  <c r="H39" i="14"/>
  <c r="J43" i="14"/>
  <c r="J51" i="14"/>
  <c r="I56" i="14"/>
  <c r="J60" i="14"/>
  <c r="K63" i="14"/>
  <c r="J66" i="14"/>
  <c r="K70" i="14"/>
  <c r="J73" i="14"/>
  <c r="J77" i="14"/>
  <c r="J80" i="14"/>
  <c r="J82" i="14"/>
  <c r="I90" i="14"/>
  <c r="I92" i="14"/>
  <c r="J94" i="14"/>
  <c r="H98" i="14"/>
  <c r="H99" i="14"/>
  <c r="I100" i="14"/>
  <c r="J101" i="14"/>
  <c r="J105" i="14"/>
  <c r="J107" i="14"/>
  <c r="J109" i="14"/>
  <c r="I123" i="14"/>
  <c r="H126" i="14"/>
  <c r="I129" i="14"/>
  <c r="I131" i="14"/>
  <c r="I133" i="14"/>
  <c r="I139" i="14"/>
  <c r="K141" i="14"/>
  <c r="I147" i="14"/>
  <c r="J148" i="14"/>
  <c r="H14" i="14"/>
  <c r="H44" i="14"/>
  <c r="H49" i="14"/>
  <c r="H61" i="14"/>
  <c r="H75" i="14"/>
  <c r="H85" i="14"/>
  <c r="H104" i="14"/>
  <c r="I157" i="14"/>
  <c r="K161" i="14"/>
  <c r="J166" i="14"/>
  <c r="J170" i="14"/>
  <c r="J174" i="14"/>
  <c r="J178" i="14"/>
  <c r="I185" i="14"/>
  <c r="I189" i="14"/>
  <c r="I193" i="14"/>
  <c r="I197" i="14"/>
  <c r="J18" i="14"/>
  <c r="I36" i="14"/>
  <c r="I43" i="14"/>
  <c r="I51" i="14"/>
  <c r="I55" i="14"/>
  <c r="I60" i="14"/>
  <c r="J62" i="14"/>
  <c r="I66" i="14"/>
  <c r="K69" i="14"/>
  <c r="I73" i="14"/>
  <c r="I77" i="14"/>
  <c r="I80" i="14"/>
  <c r="I82" i="14"/>
  <c r="J89" i="14"/>
  <c r="J91" i="14"/>
  <c r="I94" i="14"/>
  <c r="K95" i="14"/>
  <c r="K98" i="14"/>
  <c r="K99" i="14"/>
  <c r="I101" i="14"/>
  <c r="I105" i="14"/>
  <c r="I107" i="14"/>
  <c r="I109" i="14"/>
  <c r="J132" i="14"/>
  <c r="J135" i="14"/>
  <c r="J146" i="14"/>
  <c r="I148" i="14"/>
  <c r="H42" i="14"/>
  <c r="H48" i="14"/>
  <c r="H57" i="14"/>
  <c r="H74" i="14"/>
  <c r="H84" i="14"/>
  <c r="H97" i="14"/>
  <c r="H136" i="14"/>
  <c r="H144" i="14"/>
  <c r="I158" i="14"/>
  <c r="J161" i="14"/>
  <c r="K162" i="14"/>
  <c r="I166" i="14"/>
  <c r="I170" i="14"/>
  <c r="I174" i="14"/>
  <c r="I178" i="14"/>
  <c r="J182" i="14"/>
  <c r="J186" i="14"/>
  <c r="J190" i="14"/>
  <c r="J194" i="14"/>
  <c r="J198" i="14"/>
  <c r="K201" i="14"/>
  <c r="I18" i="14"/>
  <c r="I35" i="14"/>
  <c r="J41" i="14"/>
  <c r="J46" i="14"/>
  <c r="I54" i="14"/>
  <c r="J58" i="14"/>
  <c r="I62" i="14"/>
  <c r="J64" i="14"/>
  <c r="J68" i="14"/>
  <c r="I72" i="14"/>
  <c r="K76" i="14"/>
  <c r="J78" i="14"/>
  <c r="J81" i="14"/>
  <c r="I89" i="14"/>
  <c r="I93" i="14"/>
  <c r="J96" i="14"/>
  <c r="J98" i="14"/>
  <c r="J99" i="14"/>
  <c r="J102" i="14"/>
  <c r="J103" i="14"/>
  <c r="J106" i="14"/>
  <c r="J108" i="14"/>
  <c r="J124" i="14"/>
  <c r="I128" i="14"/>
  <c r="K129" i="14"/>
  <c r="I132" i="14"/>
  <c r="I135" i="14"/>
  <c r="I141" i="14"/>
  <c r="I146" i="14"/>
  <c r="K147" i="14"/>
  <c r="I26" i="14"/>
  <c r="I40" i="14"/>
  <c r="I25" i="14"/>
  <c r="I30" i="14"/>
  <c r="K39" i="14"/>
  <c r="I29" i="14"/>
  <c r="J40" i="14"/>
  <c r="J15" i="14"/>
  <c r="I20" i="14"/>
  <c r="I19" i="14"/>
  <c r="K23" i="14"/>
  <c r="I28" i="14"/>
  <c r="J39" i="14"/>
  <c r="K17" i="14"/>
  <c r="K21" i="14"/>
  <c r="I27" i="14"/>
  <c r="I34" i="14"/>
  <c r="I39" i="14"/>
  <c r="O91" i="14"/>
  <c r="O15" i="14"/>
  <c r="L8" i="14"/>
  <c r="I189" i="53"/>
  <c r="H189" i="53"/>
  <c r="I187" i="53"/>
  <c r="H187" i="53"/>
  <c r="G185" i="53"/>
  <c r="F185" i="53"/>
  <c r="I185" i="53" s="1"/>
  <c r="G175" i="53"/>
  <c r="G165" i="53"/>
  <c r="I161" i="53"/>
  <c r="H161" i="53"/>
  <c r="I159" i="53"/>
  <c r="H159" i="53"/>
  <c r="G157" i="53"/>
  <c r="F157" i="53"/>
  <c r="I157" i="53" s="1"/>
  <c r="I155" i="53"/>
  <c r="H155" i="53"/>
  <c r="H153" i="53" s="1"/>
  <c r="G153" i="53"/>
  <c r="F153" i="53"/>
  <c r="I153" i="53" s="1"/>
  <c r="H149" i="53"/>
  <c r="G147" i="53"/>
  <c r="H143" i="53"/>
  <c r="G141" i="53"/>
  <c r="I139" i="53"/>
  <c r="H139" i="53"/>
  <c r="I133" i="53"/>
  <c r="H133" i="53"/>
  <c r="I132" i="53"/>
  <c r="H132" i="53"/>
  <c r="I131" i="53"/>
  <c r="H131" i="53"/>
  <c r="I130" i="53"/>
  <c r="H130" i="53"/>
  <c r="I129" i="53"/>
  <c r="H129" i="53"/>
  <c r="I128" i="53"/>
  <c r="H128" i="53"/>
  <c r="I127" i="53"/>
  <c r="H127" i="53"/>
  <c r="I126" i="53"/>
  <c r="H126" i="53"/>
  <c r="G125" i="53"/>
  <c r="I124" i="53"/>
  <c r="H124" i="53"/>
  <c r="I123" i="53"/>
  <c r="H123" i="53"/>
  <c r="I122" i="53"/>
  <c r="H122" i="53"/>
  <c r="I121" i="53"/>
  <c r="H121" i="53"/>
  <c r="I120" i="53"/>
  <c r="H120" i="53"/>
  <c r="G119" i="53"/>
  <c r="F119" i="53"/>
  <c r="G95" i="53"/>
  <c r="I93" i="53"/>
  <c r="H93" i="53"/>
  <c r="I91" i="53"/>
  <c r="H91" i="53"/>
  <c r="I89" i="53"/>
  <c r="H89" i="53"/>
  <c r="I87" i="53"/>
  <c r="H87" i="53"/>
  <c r="G83" i="53"/>
  <c r="I81" i="53"/>
  <c r="H81" i="53"/>
  <c r="I80" i="53"/>
  <c r="H80" i="53"/>
  <c r="I79" i="53"/>
  <c r="H79" i="53"/>
  <c r="I78" i="53"/>
  <c r="H78" i="53"/>
  <c r="G77" i="53"/>
  <c r="I74" i="53"/>
  <c r="H74" i="53"/>
  <c r="I73" i="53"/>
  <c r="H73" i="53"/>
  <c r="I72" i="53"/>
  <c r="H72" i="53"/>
  <c r="I71" i="53"/>
  <c r="H71" i="53"/>
  <c r="G70" i="53"/>
  <c r="I69" i="53"/>
  <c r="H69" i="53"/>
  <c r="I68" i="53"/>
  <c r="H68" i="53"/>
  <c r="I67" i="53"/>
  <c r="H67" i="53"/>
  <c r="I66" i="53"/>
  <c r="H66" i="53"/>
  <c r="I65" i="53"/>
  <c r="H65" i="53"/>
  <c r="G64" i="53"/>
  <c r="I64" i="53"/>
  <c r="I63" i="53"/>
  <c r="H63" i="53"/>
  <c r="I62" i="53"/>
  <c r="I61" i="53"/>
  <c r="H61" i="53"/>
  <c r="I60" i="53"/>
  <c r="H60" i="53"/>
  <c r="I59" i="53"/>
  <c r="H59" i="53"/>
  <c r="G58" i="53"/>
  <c r="I54" i="53"/>
  <c r="H54" i="53"/>
  <c r="H52" i="53" s="1"/>
  <c r="G52" i="53"/>
  <c r="F52" i="53"/>
  <c r="I52" i="53" s="1"/>
  <c r="I50" i="53"/>
  <c r="H50" i="53"/>
  <c r="G48" i="53"/>
  <c r="F48" i="53"/>
  <c r="I48" i="53" s="1"/>
  <c r="G38" i="53"/>
  <c r="I37" i="53"/>
  <c r="I36" i="53"/>
  <c r="I35" i="53"/>
  <c r="I34" i="53"/>
  <c r="I32" i="53"/>
  <c r="I30" i="53"/>
  <c r="I29" i="53"/>
  <c r="I28" i="53"/>
  <c r="I27" i="53"/>
  <c r="I23" i="53"/>
  <c r="H23" i="53"/>
  <c r="I22" i="53"/>
  <c r="I21" i="53"/>
  <c r="I20" i="53"/>
  <c r="I19" i="53"/>
  <c r="I18" i="53"/>
  <c r="I17" i="53"/>
  <c r="I16" i="53"/>
  <c r="I15" i="53"/>
  <c r="I14" i="53"/>
  <c r="I13" i="53"/>
  <c r="I12" i="53"/>
  <c r="I8" i="53"/>
  <c r="I7" i="53"/>
  <c r="G6" i="53"/>
  <c r="G2" i="53" s="1"/>
  <c r="F6" i="53"/>
  <c r="L4" i="44"/>
  <c r="L5" i="44"/>
  <c r="I5" i="44"/>
  <c r="M18" i="44"/>
  <c r="M17" i="44"/>
  <c r="M15" i="44"/>
  <c r="M14" i="44"/>
  <c r="M13" i="44"/>
  <c r="J18" i="44"/>
  <c r="J17" i="44"/>
  <c r="J15" i="44"/>
  <c r="J14" i="44"/>
  <c r="J13" i="44"/>
  <c r="G18" i="44"/>
  <c r="G17" i="44"/>
  <c r="G15" i="44"/>
  <c r="G14" i="44"/>
  <c r="G13" i="44"/>
  <c r="D18" i="44"/>
  <c r="D17" i="44"/>
  <c r="D15" i="44"/>
  <c r="D14" i="44"/>
  <c r="D13" i="44"/>
  <c r="H127" i="47"/>
  <c r="H128" i="47"/>
  <c r="H129" i="47"/>
  <c r="H130" i="47"/>
  <c r="H131" i="47"/>
  <c r="H133" i="47"/>
  <c r="F126" i="47"/>
  <c r="F121" i="47"/>
  <c r="H121" i="47" s="1"/>
  <c r="F122" i="47"/>
  <c r="H122" i="47" s="1"/>
  <c r="F123" i="47"/>
  <c r="H123" i="47" s="1"/>
  <c r="F124" i="47"/>
  <c r="H124" i="47" s="1"/>
  <c r="F120" i="47"/>
  <c r="H127" i="49"/>
  <c r="H128" i="49"/>
  <c r="H129" i="49"/>
  <c r="H130" i="49"/>
  <c r="H131" i="49"/>
  <c r="H133" i="49"/>
  <c r="F126" i="49"/>
  <c r="H121" i="49"/>
  <c r="H122" i="49"/>
  <c r="H123" i="49"/>
  <c r="H124" i="49"/>
  <c r="F120" i="49"/>
  <c r="H129" i="50"/>
  <c r="H130" i="50"/>
  <c r="H131" i="50"/>
  <c r="H132" i="50"/>
  <c r="H133" i="50"/>
  <c r="H135" i="50"/>
  <c r="F128" i="50"/>
  <c r="H123" i="50"/>
  <c r="H124" i="50"/>
  <c r="H125" i="50"/>
  <c r="H126" i="50"/>
  <c r="F122" i="50"/>
  <c r="H129" i="51"/>
  <c r="H130" i="51"/>
  <c r="H131" i="51"/>
  <c r="H132" i="51"/>
  <c r="H134" i="51"/>
  <c r="F127" i="51"/>
  <c r="H122" i="51"/>
  <c r="H123" i="51"/>
  <c r="H124" i="51"/>
  <c r="H125" i="51"/>
  <c r="F121" i="51"/>
  <c r="G70" i="48"/>
  <c r="F79" i="47"/>
  <c r="F80" i="47"/>
  <c r="H80" i="47" s="1"/>
  <c r="F81" i="47"/>
  <c r="H81" i="47" s="1"/>
  <c r="F78" i="47"/>
  <c r="H72" i="47"/>
  <c r="H73" i="47"/>
  <c r="H74" i="47"/>
  <c r="F71" i="47"/>
  <c r="F70" i="47" s="1"/>
  <c r="F66" i="47"/>
  <c r="H66" i="47" s="1"/>
  <c r="F67" i="47"/>
  <c r="H67" i="47" s="1"/>
  <c r="F68" i="47"/>
  <c r="H68" i="47" s="1"/>
  <c r="F69" i="47"/>
  <c r="H69" i="47" s="1"/>
  <c r="F65" i="47"/>
  <c r="H60" i="47"/>
  <c r="H61" i="47"/>
  <c r="H62" i="47"/>
  <c r="H63" i="47"/>
  <c r="F59" i="47"/>
  <c r="H79" i="49"/>
  <c r="H80" i="49"/>
  <c r="H81" i="49"/>
  <c r="F78" i="49"/>
  <c r="H72" i="49"/>
  <c r="H73" i="49"/>
  <c r="H74" i="49"/>
  <c r="F71" i="49"/>
  <c r="F70" i="49" s="1"/>
  <c r="F66" i="49"/>
  <c r="H66" i="49" s="1"/>
  <c r="F67" i="49"/>
  <c r="H67" i="49" s="1"/>
  <c r="F68" i="49"/>
  <c r="H68" i="49" s="1"/>
  <c r="F69" i="49"/>
  <c r="H69" i="49" s="1"/>
  <c r="F65" i="49"/>
  <c r="H60" i="49"/>
  <c r="H61" i="49"/>
  <c r="H62" i="49"/>
  <c r="H63" i="49"/>
  <c r="F59" i="49"/>
  <c r="H80" i="50"/>
  <c r="H81" i="50"/>
  <c r="H82" i="50"/>
  <c r="F79" i="50"/>
  <c r="F78" i="50" s="1"/>
  <c r="H73" i="50"/>
  <c r="H74" i="50"/>
  <c r="H75" i="50"/>
  <c r="F72" i="50"/>
  <c r="F71" i="50" s="1"/>
  <c r="H67" i="50"/>
  <c r="H68" i="50"/>
  <c r="H69" i="50"/>
  <c r="H70" i="50"/>
  <c r="F66" i="50"/>
  <c r="H61" i="50"/>
  <c r="H62" i="50"/>
  <c r="H63" i="50"/>
  <c r="H64" i="50"/>
  <c r="F60" i="50"/>
  <c r="H80" i="51"/>
  <c r="H79" i="51"/>
  <c r="F78" i="51"/>
  <c r="F77" i="51" s="1"/>
  <c r="H74" i="51"/>
  <c r="H73" i="51"/>
  <c r="H72" i="51"/>
  <c r="F71" i="51"/>
  <c r="F70" i="51" s="1"/>
  <c r="H69" i="51"/>
  <c r="H68" i="51"/>
  <c r="H67" i="51"/>
  <c r="H66" i="51"/>
  <c r="F65" i="51"/>
  <c r="H65" i="51" s="1"/>
  <c r="F64" i="51"/>
  <c r="H63" i="51"/>
  <c r="H62" i="51"/>
  <c r="H61" i="51"/>
  <c r="F59" i="51"/>
  <c r="F35" i="47"/>
  <c r="H35" i="47" s="1"/>
  <c r="F36" i="47"/>
  <c r="H36" i="47" s="1"/>
  <c r="F37" i="47"/>
  <c r="H37" i="47" s="1"/>
  <c r="F34" i="47"/>
  <c r="H34" i="47" s="1"/>
  <c r="H29" i="47"/>
  <c r="H30" i="47"/>
  <c r="H32" i="47"/>
  <c r="F28" i="47"/>
  <c r="H28" i="47" s="1"/>
  <c r="F35" i="49"/>
  <c r="H35" i="49" s="1"/>
  <c r="F36" i="49"/>
  <c r="H36" i="49" s="1"/>
  <c r="F37" i="49"/>
  <c r="H37" i="49" s="1"/>
  <c r="F34" i="49"/>
  <c r="H29" i="49"/>
  <c r="H30" i="49"/>
  <c r="H31" i="49"/>
  <c r="F28" i="49"/>
  <c r="F35" i="50"/>
  <c r="H35" i="50" s="1"/>
  <c r="F36" i="50"/>
  <c r="H36" i="50" s="1"/>
  <c r="F34" i="50"/>
  <c r="F29" i="50"/>
  <c r="H29" i="50" s="1"/>
  <c r="F30" i="50"/>
  <c r="H30" i="50" s="1"/>
  <c r="F32" i="50"/>
  <c r="H32" i="50" s="1"/>
  <c r="F28" i="50"/>
  <c r="F35" i="51"/>
  <c r="F36" i="51"/>
  <c r="H36" i="51" s="1"/>
  <c r="F37" i="51"/>
  <c r="H37" i="51" s="1"/>
  <c r="F34" i="51"/>
  <c r="F29" i="51"/>
  <c r="H29" i="51" s="1"/>
  <c r="F30" i="51"/>
  <c r="H30" i="51" s="1"/>
  <c r="F32" i="51"/>
  <c r="H32" i="51" s="1"/>
  <c r="F28" i="51"/>
  <c r="I37" i="47"/>
  <c r="I36" i="47"/>
  <c r="I35" i="47"/>
  <c r="I34" i="47"/>
  <c r="H33" i="47"/>
  <c r="F33" i="47"/>
  <c r="I33" i="47" s="1"/>
  <c r="I32" i="47"/>
  <c r="I30" i="47"/>
  <c r="I29" i="47"/>
  <c r="I28" i="47"/>
  <c r="H27" i="47"/>
  <c r="F27" i="47"/>
  <c r="I27" i="47" s="1"/>
  <c r="I37" i="49"/>
  <c r="I36" i="49"/>
  <c r="I35" i="49"/>
  <c r="I34" i="49"/>
  <c r="I31" i="49"/>
  <c r="I30" i="49"/>
  <c r="I29" i="49"/>
  <c r="I28" i="49"/>
  <c r="I36" i="50"/>
  <c r="I35" i="50"/>
  <c r="I34" i="50"/>
  <c r="I32" i="50"/>
  <c r="I30" i="50"/>
  <c r="I29" i="50"/>
  <c r="I28" i="50"/>
  <c r="H27" i="50"/>
  <c r="H33" i="51"/>
  <c r="H27" i="51"/>
  <c r="I37" i="51"/>
  <c r="I36" i="51"/>
  <c r="I32" i="51"/>
  <c r="I30" i="51"/>
  <c r="F19" i="47"/>
  <c r="H19" i="47" s="1"/>
  <c r="F20" i="47"/>
  <c r="H20" i="47" s="1"/>
  <c r="F21" i="47"/>
  <c r="H21" i="47" s="1"/>
  <c r="F22" i="47"/>
  <c r="H22" i="47" s="1"/>
  <c r="F18" i="47"/>
  <c r="H18" i="47" s="1"/>
  <c r="F13" i="47"/>
  <c r="H13" i="47" s="1"/>
  <c r="F14" i="47"/>
  <c r="H14" i="47" s="1"/>
  <c r="F15" i="47"/>
  <c r="H15" i="47" s="1"/>
  <c r="F16" i="47"/>
  <c r="H16" i="47" s="1"/>
  <c r="F17" i="47"/>
  <c r="H17" i="47" s="1"/>
  <c r="F12" i="47"/>
  <c r="F19" i="49"/>
  <c r="H19" i="49" s="1"/>
  <c r="F20" i="49"/>
  <c r="H20" i="49" s="1"/>
  <c r="F21" i="49"/>
  <c r="H21" i="49" s="1"/>
  <c r="F22" i="49"/>
  <c r="H22" i="49" s="1"/>
  <c r="F18" i="49"/>
  <c r="H18" i="49" s="1"/>
  <c r="F13" i="49"/>
  <c r="H13" i="49" s="1"/>
  <c r="F15" i="49"/>
  <c r="H15" i="49" s="1"/>
  <c r="F16" i="49"/>
  <c r="H16" i="49" s="1"/>
  <c r="F17" i="49"/>
  <c r="H17" i="49" s="1"/>
  <c r="F12" i="49"/>
  <c r="F19" i="50"/>
  <c r="H19" i="50" s="1"/>
  <c r="F20" i="50"/>
  <c r="H20" i="50" s="1"/>
  <c r="F21" i="50"/>
  <c r="H21" i="50" s="1"/>
  <c r="F22" i="50"/>
  <c r="H22" i="50" s="1"/>
  <c r="F18" i="50"/>
  <c r="H18" i="50" s="1"/>
  <c r="F13" i="50"/>
  <c r="H13" i="50" s="1"/>
  <c r="F14" i="50"/>
  <c r="H14" i="50" s="1"/>
  <c r="F15" i="50"/>
  <c r="H15" i="50" s="1"/>
  <c r="F16" i="50"/>
  <c r="H16" i="50" s="1"/>
  <c r="F17" i="50"/>
  <c r="H17" i="50" s="1"/>
  <c r="F12" i="50"/>
  <c r="F19" i="51"/>
  <c r="H19" i="51" s="1"/>
  <c r="F20" i="51"/>
  <c r="H20" i="51" s="1"/>
  <c r="F21" i="51"/>
  <c r="H21" i="51" s="1"/>
  <c r="F22" i="51"/>
  <c r="H22" i="51" s="1"/>
  <c r="F18" i="51"/>
  <c r="H18" i="51" s="1"/>
  <c r="F13" i="51"/>
  <c r="H13" i="51" s="1"/>
  <c r="F15" i="51"/>
  <c r="H15" i="51" s="1"/>
  <c r="F16" i="51"/>
  <c r="H16" i="51" s="1"/>
  <c r="F17" i="51"/>
  <c r="H17" i="51" s="1"/>
  <c r="F12" i="51"/>
  <c r="I14" i="47"/>
  <c r="I13" i="47"/>
  <c r="I18" i="47"/>
  <c r="I17" i="47"/>
  <c r="I16" i="47"/>
  <c r="I15" i="47"/>
  <c r="I14" i="49"/>
  <c r="I13" i="49"/>
  <c r="I18" i="49"/>
  <c r="I17" i="49"/>
  <c r="I16" i="49"/>
  <c r="I15" i="49"/>
  <c r="I18" i="50"/>
  <c r="I17" i="50"/>
  <c r="I16" i="50"/>
  <c r="I15" i="50"/>
  <c r="I14" i="50"/>
  <c r="I13" i="50"/>
  <c r="I21" i="51"/>
  <c r="I20" i="51"/>
  <c r="I19" i="51"/>
  <c r="I17" i="51"/>
  <c r="I16" i="51"/>
  <c r="I15" i="51"/>
  <c r="G142" i="48"/>
  <c r="F138" i="48"/>
  <c r="I138" i="48" s="1"/>
  <c r="G126" i="48"/>
  <c r="G124" i="48"/>
  <c r="G122" i="48"/>
  <c r="G120" i="48"/>
  <c r="G114" i="48"/>
  <c r="I114" i="48"/>
  <c r="G112" i="48"/>
  <c r="I112" i="48"/>
  <c r="G108" i="48"/>
  <c r="F106" i="48"/>
  <c r="I106" i="48" s="1"/>
  <c r="G104" i="48"/>
  <c r="G102" i="48"/>
  <c r="G98" i="48"/>
  <c r="G96" i="48"/>
  <c r="G92" i="48"/>
  <c r="I92" i="48"/>
  <c r="G90" i="48"/>
  <c r="G88" i="48"/>
  <c r="G82" i="48"/>
  <c r="G80" i="48"/>
  <c r="G78" i="48"/>
  <c r="G76" i="48"/>
  <c r="G74" i="48"/>
  <c r="G72" i="48"/>
  <c r="G66" i="48"/>
  <c r="G64" i="48"/>
  <c r="G62" i="48"/>
  <c r="G58" i="48"/>
  <c r="I58" i="48"/>
  <c r="G56" i="48"/>
  <c r="I56" i="48"/>
  <c r="G54" i="48"/>
  <c r="G52" i="48"/>
  <c r="I52" i="48"/>
  <c r="G50" i="48"/>
  <c r="G36" i="48"/>
  <c r="G34" i="48" s="1"/>
  <c r="F34" i="48"/>
  <c r="I34" i="48" s="1"/>
  <c r="G32" i="48"/>
  <c r="G30" i="48" s="1"/>
  <c r="G28" i="48"/>
  <c r="G26" i="48"/>
  <c r="G24" i="48"/>
  <c r="G22" i="48"/>
  <c r="G12" i="48"/>
  <c r="I12" i="48"/>
  <c r="G8" i="48"/>
  <c r="G4" i="48"/>
  <c r="I140" i="48"/>
  <c r="H140" i="48"/>
  <c r="I190" i="51"/>
  <c r="H190" i="51"/>
  <c r="I188" i="51"/>
  <c r="H188" i="51"/>
  <c r="G186" i="51"/>
  <c r="F186" i="51"/>
  <c r="I186" i="51" s="1"/>
  <c r="G176" i="51"/>
  <c r="G166" i="51"/>
  <c r="I162" i="51"/>
  <c r="H162" i="51"/>
  <c r="I160" i="51"/>
  <c r="H160" i="51"/>
  <c r="G158" i="51"/>
  <c r="F158" i="51"/>
  <c r="I158" i="51" s="1"/>
  <c r="I156" i="51"/>
  <c r="H156" i="51"/>
  <c r="H154" i="51" s="1"/>
  <c r="G154" i="51"/>
  <c r="F154" i="51"/>
  <c r="I154" i="51" s="1"/>
  <c r="I152" i="51"/>
  <c r="H152" i="51"/>
  <c r="G148" i="51"/>
  <c r="G142" i="51"/>
  <c r="I140" i="51"/>
  <c r="H140" i="51"/>
  <c r="I134" i="51"/>
  <c r="I133" i="51"/>
  <c r="I132" i="51"/>
  <c r="I131" i="51"/>
  <c r="I130" i="51"/>
  <c r="I129" i="51"/>
  <c r="I128" i="51"/>
  <c r="I127" i="51"/>
  <c r="G126" i="51"/>
  <c r="I125" i="51"/>
  <c r="I124" i="51"/>
  <c r="I123" i="51"/>
  <c r="I122" i="51"/>
  <c r="I121" i="51"/>
  <c r="G120" i="51"/>
  <c r="G96" i="51"/>
  <c r="C9" i="44" s="1"/>
  <c r="I94" i="51"/>
  <c r="H94" i="51"/>
  <c r="I92" i="51"/>
  <c r="H92" i="51"/>
  <c r="I90" i="51"/>
  <c r="H90" i="51"/>
  <c r="I88" i="51"/>
  <c r="H88" i="51"/>
  <c r="G84" i="51"/>
  <c r="I80" i="51"/>
  <c r="I79" i="51"/>
  <c r="I78" i="51"/>
  <c r="G77" i="51"/>
  <c r="I74" i="51"/>
  <c r="I73" i="51"/>
  <c r="I72" i="51"/>
  <c r="I71" i="51"/>
  <c r="G70" i="51"/>
  <c r="I69" i="51"/>
  <c r="I68" i="51"/>
  <c r="I67" i="51"/>
  <c r="I66" i="51"/>
  <c r="I65" i="51"/>
  <c r="G64" i="51"/>
  <c r="I63" i="51"/>
  <c r="I62" i="51"/>
  <c r="I61" i="51"/>
  <c r="I60" i="51"/>
  <c r="H60" i="51"/>
  <c r="I59" i="51"/>
  <c r="G58" i="51"/>
  <c r="I54" i="51"/>
  <c r="H54" i="51"/>
  <c r="H52" i="51" s="1"/>
  <c r="G52" i="51"/>
  <c r="F52" i="51"/>
  <c r="I52" i="51" s="1"/>
  <c r="I50" i="51"/>
  <c r="H50" i="51"/>
  <c r="G48" i="51"/>
  <c r="F48" i="51"/>
  <c r="I48" i="51" s="1"/>
  <c r="G38" i="51"/>
  <c r="C8" i="44" s="1"/>
  <c r="I35" i="51"/>
  <c r="I34" i="51"/>
  <c r="I29" i="51"/>
  <c r="I28" i="51"/>
  <c r="I23" i="51"/>
  <c r="H23" i="51"/>
  <c r="I22" i="51"/>
  <c r="I18" i="51"/>
  <c r="I14" i="51"/>
  <c r="I13" i="51"/>
  <c r="I12" i="51"/>
  <c r="G11" i="51"/>
  <c r="I8" i="51"/>
  <c r="I7" i="51"/>
  <c r="G6" i="51"/>
  <c r="C4" i="44" s="1"/>
  <c r="I4" i="51"/>
  <c r="H4" i="51"/>
  <c r="I191" i="50"/>
  <c r="H191" i="50"/>
  <c r="I189" i="50"/>
  <c r="H189" i="50"/>
  <c r="G187" i="50"/>
  <c r="F187" i="50"/>
  <c r="I187" i="50" s="1"/>
  <c r="G177" i="50"/>
  <c r="G167" i="50"/>
  <c r="I163" i="50"/>
  <c r="H163" i="50"/>
  <c r="I161" i="50"/>
  <c r="H161" i="50"/>
  <c r="G159" i="50"/>
  <c r="F159" i="50"/>
  <c r="I159" i="50" s="1"/>
  <c r="I157" i="50"/>
  <c r="H157" i="50"/>
  <c r="H155" i="50" s="1"/>
  <c r="G155" i="50"/>
  <c r="F155" i="50"/>
  <c r="I155" i="50" s="1"/>
  <c r="I153" i="50"/>
  <c r="H153" i="50"/>
  <c r="G149" i="50"/>
  <c r="G143" i="50"/>
  <c r="I141" i="50"/>
  <c r="H141" i="50"/>
  <c r="I135" i="50"/>
  <c r="I134" i="50"/>
  <c r="I133" i="50"/>
  <c r="I132" i="50"/>
  <c r="I131" i="50"/>
  <c r="I130" i="50"/>
  <c r="I129" i="50"/>
  <c r="I128" i="50"/>
  <c r="G127" i="50"/>
  <c r="I126" i="50"/>
  <c r="I125" i="50"/>
  <c r="I124" i="50"/>
  <c r="I123" i="50"/>
  <c r="I122" i="50"/>
  <c r="G121" i="50"/>
  <c r="G97" i="50"/>
  <c r="F9" i="44" s="1"/>
  <c r="I95" i="50"/>
  <c r="H95" i="50"/>
  <c r="I93" i="50"/>
  <c r="H93" i="50"/>
  <c r="I91" i="50"/>
  <c r="H91" i="50"/>
  <c r="I89" i="50"/>
  <c r="H89" i="50"/>
  <c r="G85" i="50"/>
  <c r="I82" i="50"/>
  <c r="I81" i="50"/>
  <c r="I80" i="50"/>
  <c r="I79" i="50"/>
  <c r="G78" i="50"/>
  <c r="I75" i="50"/>
  <c r="I74" i="50"/>
  <c r="I73" i="50"/>
  <c r="I72" i="50"/>
  <c r="G71" i="50"/>
  <c r="I70" i="50"/>
  <c r="I69" i="50"/>
  <c r="I68" i="50"/>
  <c r="I67" i="50"/>
  <c r="I66" i="50"/>
  <c r="G65" i="50"/>
  <c r="I64" i="50"/>
  <c r="I63" i="50"/>
  <c r="I62" i="50"/>
  <c r="I61" i="50"/>
  <c r="I60" i="50"/>
  <c r="G59" i="50"/>
  <c r="I55" i="50"/>
  <c r="H55" i="50"/>
  <c r="H53" i="50" s="1"/>
  <c r="G53" i="50"/>
  <c r="F53" i="50"/>
  <c r="I53" i="50" s="1"/>
  <c r="I51" i="50"/>
  <c r="H51" i="50"/>
  <c r="G49" i="50"/>
  <c r="F49" i="50"/>
  <c r="I49" i="50" s="1"/>
  <c r="G39" i="50"/>
  <c r="F8" i="44" s="1"/>
  <c r="I23" i="50"/>
  <c r="H23" i="50"/>
  <c r="I22" i="50"/>
  <c r="I21" i="50"/>
  <c r="I20" i="50"/>
  <c r="I19" i="50"/>
  <c r="I12" i="50"/>
  <c r="G11" i="50"/>
  <c r="I8" i="50"/>
  <c r="I7" i="50"/>
  <c r="G6" i="50"/>
  <c r="F4" i="44" s="1"/>
  <c r="I4" i="50"/>
  <c r="H4" i="50"/>
  <c r="I189" i="49"/>
  <c r="H189" i="49"/>
  <c r="I187" i="49"/>
  <c r="H187" i="49"/>
  <c r="G185" i="49"/>
  <c r="F185" i="49"/>
  <c r="I185" i="49" s="1"/>
  <c r="G175" i="49"/>
  <c r="G165" i="49"/>
  <c r="I161" i="49"/>
  <c r="H161" i="49"/>
  <c r="I159" i="49"/>
  <c r="H159" i="49"/>
  <c r="G157" i="49"/>
  <c r="F157" i="49"/>
  <c r="I157" i="49" s="1"/>
  <c r="I155" i="49"/>
  <c r="H155" i="49"/>
  <c r="H153" i="49" s="1"/>
  <c r="G153" i="49"/>
  <c r="F153" i="49"/>
  <c r="I153" i="49" s="1"/>
  <c r="I151" i="49"/>
  <c r="H151" i="49"/>
  <c r="G147" i="49"/>
  <c r="G141" i="49"/>
  <c r="I139" i="49"/>
  <c r="H139" i="49"/>
  <c r="I133" i="49"/>
  <c r="I132" i="49"/>
  <c r="I131" i="49"/>
  <c r="I130" i="49"/>
  <c r="I129" i="49"/>
  <c r="I128" i="49"/>
  <c r="I127" i="49"/>
  <c r="I126" i="49"/>
  <c r="G125" i="49"/>
  <c r="I124" i="49"/>
  <c r="I123" i="49"/>
  <c r="I122" i="49"/>
  <c r="I121" i="49"/>
  <c r="I120" i="49"/>
  <c r="G119" i="49"/>
  <c r="G95" i="49"/>
  <c r="I9" i="44" s="1"/>
  <c r="I93" i="49"/>
  <c r="H93" i="49"/>
  <c r="I91" i="49"/>
  <c r="H91" i="49"/>
  <c r="I89" i="49"/>
  <c r="H89" i="49"/>
  <c r="I87" i="49"/>
  <c r="H87" i="49"/>
  <c r="G83" i="49"/>
  <c r="I81" i="49"/>
  <c r="I80" i="49"/>
  <c r="I79" i="49"/>
  <c r="I78" i="49"/>
  <c r="G77" i="49"/>
  <c r="I74" i="49"/>
  <c r="I73" i="49"/>
  <c r="I72" i="49"/>
  <c r="I71" i="49"/>
  <c r="G70" i="49"/>
  <c r="I69" i="49"/>
  <c r="I68" i="49"/>
  <c r="I67" i="49"/>
  <c r="I66" i="49"/>
  <c r="I65" i="49"/>
  <c r="G64" i="49"/>
  <c r="I63" i="49"/>
  <c r="I62" i="49"/>
  <c r="I61" i="49"/>
  <c r="I60" i="49"/>
  <c r="I59" i="49"/>
  <c r="G58" i="49"/>
  <c r="I54" i="49"/>
  <c r="H54" i="49"/>
  <c r="H52" i="49" s="1"/>
  <c r="G52" i="49"/>
  <c r="F52" i="49"/>
  <c r="I52" i="49" s="1"/>
  <c r="I50" i="49"/>
  <c r="H50" i="49"/>
  <c r="G48" i="49"/>
  <c r="F48" i="49"/>
  <c r="I48" i="49" s="1"/>
  <c r="G38" i="49"/>
  <c r="I8" i="44" s="1"/>
  <c r="I23" i="49"/>
  <c r="H23" i="49"/>
  <c r="I22" i="49"/>
  <c r="I21" i="49"/>
  <c r="I20" i="49"/>
  <c r="I19" i="49"/>
  <c r="I12" i="49"/>
  <c r="I8" i="49"/>
  <c r="I7" i="49"/>
  <c r="G6" i="49"/>
  <c r="I4" i="44" s="1"/>
  <c r="I4" i="49"/>
  <c r="H4" i="49"/>
  <c r="I189" i="47"/>
  <c r="H189" i="47"/>
  <c r="I187" i="47"/>
  <c r="H187" i="47"/>
  <c r="I161" i="47"/>
  <c r="I159" i="47"/>
  <c r="H161" i="47"/>
  <c r="H159" i="47"/>
  <c r="I155" i="47"/>
  <c r="H155" i="47"/>
  <c r="H153" i="47" s="1"/>
  <c r="I151" i="47"/>
  <c r="H151" i="47"/>
  <c r="H139" i="47"/>
  <c r="I139" i="47"/>
  <c r="I127" i="47"/>
  <c r="I128" i="47"/>
  <c r="I129" i="47"/>
  <c r="I130" i="47"/>
  <c r="I131" i="47"/>
  <c r="I132" i="47"/>
  <c r="I133" i="47"/>
  <c r="I126" i="47"/>
  <c r="I121" i="47"/>
  <c r="I122" i="47"/>
  <c r="I123" i="47"/>
  <c r="I124" i="47"/>
  <c r="I120" i="47"/>
  <c r="I93" i="47"/>
  <c r="I91" i="47"/>
  <c r="I89" i="47"/>
  <c r="I87" i="47"/>
  <c r="H93" i="47"/>
  <c r="H91" i="47"/>
  <c r="H89" i="47"/>
  <c r="H87" i="47"/>
  <c r="I79" i="47"/>
  <c r="I80" i="47"/>
  <c r="I81" i="47"/>
  <c r="I78" i="47"/>
  <c r="I72" i="47"/>
  <c r="I73" i="47"/>
  <c r="I74" i="47"/>
  <c r="I71" i="47"/>
  <c r="I66" i="47"/>
  <c r="I67" i="47"/>
  <c r="I68" i="47"/>
  <c r="I69" i="47"/>
  <c r="I65" i="47"/>
  <c r="I60" i="47"/>
  <c r="I61" i="47"/>
  <c r="I62" i="47"/>
  <c r="I63" i="47"/>
  <c r="I59" i="47"/>
  <c r="I54" i="47"/>
  <c r="H54" i="47"/>
  <c r="H52" i="47" s="1"/>
  <c r="H50" i="47"/>
  <c r="H23" i="47"/>
  <c r="H4" i="47"/>
  <c r="I50" i="47"/>
  <c r="I23" i="47"/>
  <c r="I22" i="47"/>
  <c r="I21" i="47"/>
  <c r="I20" i="47"/>
  <c r="I19" i="47"/>
  <c r="I12" i="47"/>
  <c r="I8" i="47"/>
  <c r="I7" i="47"/>
  <c r="I4" i="47"/>
  <c r="G128" i="48"/>
  <c r="G185" i="47"/>
  <c r="F185" i="47"/>
  <c r="I185" i="47" s="1"/>
  <c r="G175" i="47"/>
  <c r="G165" i="47"/>
  <c r="G157" i="47"/>
  <c r="F157" i="47"/>
  <c r="I157" i="47" s="1"/>
  <c r="G153" i="47"/>
  <c r="F153" i="47"/>
  <c r="I153" i="47" s="1"/>
  <c r="G147" i="47"/>
  <c r="G141" i="47"/>
  <c r="G125" i="47"/>
  <c r="G119" i="47"/>
  <c r="G95" i="47"/>
  <c r="L9" i="44" s="1"/>
  <c r="G83" i="47"/>
  <c r="G77" i="47"/>
  <c r="G70" i="47"/>
  <c r="G64" i="47"/>
  <c r="G58" i="47"/>
  <c r="G52" i="47"/>
  <c r="F52" i="47"/>
  <c r="I52" i="47" s="1"/>
  <c r="G48" i="47"/>
  <c r="F48" i="47"/>
  <c r="I48" i="47" s="1"/>
  <c r="G38" i="47"/>
  <c r="L8" i="44" s="1"/>
  <c r="G2" i="47"/>
  <c r="S5" i="14" l="1"/>
  <c r="S7" i="14" s="1"/>
  <c r="Q5" i="14"/>
  <c r="Q7" i="14" s="1"/>
  <c r="R5" i="14"/>
  <c r="R7" i="14" s="1"/>
  <c r="R45" i="59"/>
  <c r="P168" i="59"/>
  <c r="C11" i="44"/>
  <c r="H186" i="51"/>
  <c r="G105" i="50"/>
  <c r="G57" i="50" s="1"/>
  <c r="G200" i="50" s="1"/>
  <c r="H200" i="50" s="1"/>
  <c r="H187" i="50"/>
  <c r="R158" i="59"/>
  <c r="R165" i="59" s="1"/>
  <c r="F97" i="47"/>
  <c r="R124" i="59"/>
  <c r="R131" i="59" s="1"/>
  <c r="F101" i="50"/>
  <c r="R93" i="59"/>
  <c r="R99" i="59" s="1"/>
  <c r="R73" i="59"/>
  <c r="R89" i="59" s="1"/>
  <c r="R137" i="59"/>
  <c r="R154" i="59" s="1"/>
  <c r="F25" i="47"/>
  <c r="I25" i="47" s="1"/>
  <c r="H79" i="47"/>
  <c r="H159" i="50"/>
  <c r="H185" i="47"/>
  <c r="G2" i="50"/>
  <c r="L11" i="44"/>
  <c r="H158" i="51"/>
  <c r="Q181" i="14"/>
  <c r="R181" i="14"/>
  <c r="F104" i="48"/>
  <c r="H104" i="48" s="1"/>
  <c r="I104" i="48" s="1"/>
  <c r="F147" i="53"/>
  <c r="H151" i="53"/>
  <c r="I151" i="53" s="1"/>
  <c r="H48" i="49"/>
  <c r="H157" i="49"/>
  <c r="H185" i="49"/>
  <c r="H48" i="53"/>
  <c r="H185" i="53"/>
  <c r="Q202" i="14"/>
  <c r="P202" i="14"/>
  <c r="R202" i="14"/>
  <c r="S202" i="14"/>
  <c r="S156" i="14"/>
  <c r="Q156" i="14"/>
  <c r="R156" i="14"/>
  <c r="R15" i="14"/>
  <c r="Q15" i="14"/>
  <c r="G193" i="50"/>
  <c r="R91" i="14"/>
  <c r="Q91" i="14"/>
  <c r="H48" i="47"/>
  <c r="F11" i="44"/>
  <c r="H48" i="51"/>
  <c r="G103" i="47"/>
  <c r="G56" i="47" s="1"/>
  <c r="G198" i="47" s="1"/>
  <c r="H198" i="47" s="1"/>
  <c r="G2" i="51"/>
  <c r="G56" i="51"/>
  <c r="H49" i="50"/>
  <c r="G2" i="49"/>
  <c r="G103" i="53"/>
  <c r="G56" i="53" s="1"/>
  <c r="G198" i="53" s="1"/>
  <c r="H198" i="53" s="1"/>
  <c r="H157" i="53"/>
  <c r="H12" i="51"/>
  <c r="H12" i="49"/>
  <c r="H28" i="51"/>
  <c r="F27" i="51"/>
  <c r="I27" i="51" s="1"/>
  <c r="H34" i="51"/>
  <c r="F33" i="51"/>
  <c r="I33" i="51" s="1"/>
  <c r="H28" i="50"/>
  <c r="F27" i="50"/>
  <c r="I27" i="50" s="1"/>
  <c r="H34" i="50"/>
  <c r="H33" i="50" s="1"/>
  <c r="F33" i="50"/>
  <c r="H28" i="49"/>
  <c r="H27" i="49" s="1"/>
  <c r="H34" i="49"/>
  <c r="H33" i="49" s="1"/>
  <c r="F33" i="49"/>
  <c r="I33" i="49" s="1"/>
  <c r="G191" i="53"/>
  <c r="I119" i="53"/>
  <c r="G46" i="48"/>
  <c r="H71" i="47"/>
  <c r="H70" i="47" s="1"/>
  <c r="H12" i="47"/>
  <c r="H11" i="47" s="1"/>
  <c r="F11" i="47"/>
  <c r="H59" i="47"/>
  <c r="H58" i="47" s="1"/>
  <c r="F58" i="47"/>
  <c r="H126" i="47"/>
  <c r="H65" i="47"/>
  <c r="H64" i="47" s="1"/>
  <c r="F64" i="47"/>
  <c r="I64" i="47" s="1"/>
  <c r="H78" i="47"/>
  <c r="H120" i="47"/>
  <c r="H119" i="47" s="1"/>
  <c r="F119" i="47"/>
  <c r="I11" i="44"/>
  <c r="F5" i="44"/>
  <c r="H12" i="50"/>
  <c r="H11" i="50" s="1"/>
  <c r="F11" i="50"/>
  <c r="G192" i="51"/>
  <c r="G6" i="48"/>
  <c r="C5" i="44"/>
  <c r="F25" i="53"/>
  <c r="G191" i="49"/>
  <c r="G103" i="49"/>
  <c r="G56" i="49" s="1"/>
  <c r="G198" i="49" s="1"/>
  <c r="H198" i="49" s="1"/>
  <c r="G86" i="48"/>
  <c r="G84" i="48"/>
  <c r="G44" i="48"/>
  <c r="H60" i="50"/>
  <c r="H59" i="50" s="1"/>
  <c r="F59" i="50"/>
  <c r="H78" i="49"/>
  <c r="H77" i="49" s="1"/>
  <c r="H126" i="49"/>
  <c r="H59" i="51"/>
  <c r="H58" i="51" s="1"/>
  <c r="F58" i="51"/>
  <c r="H79" i="50"/>
  <c r="H78" i="50" s="1"/>
  <c r="H71" i="49"/>
  <c r="H70" i="49" s="1"/>
  <c r="H128" i="50"/>
  <c r="H120" i="49"/>
  <c r="H119" i="49" s="1"/>
  <c r="F119" i="49"/>
  <c r="H72" i="50"/>
  <c r="H71" i="50" s="1"/>
  <c r="H65" i="49"/>
  <c r="H64" i="49" s="1"/>
  <c r="F64" i="49"/>
  <c r="H127" i="51"/>
  <c r="H122" i="50"/>
  <c r="H121" i="50" s="1"/>
  <c r="F121" i="50"/>
  <c r="H78" i="51"/>
  <c r="H77" i="51" s="1"/>
  <c r="H71" i="51"/>
  <c r="H70" i="51" s="1"/>
  <c r="H66" i="50"/>
  <c r="H65" i="50" s="1"/>
  <c r="F65" i="50"/>
  <c r="H59" i="49"/>
  <c r="H58" i="49" s="1"/>
  <c r="F58" i="49"/>
  <c r="H121" i="51"/>
  <c r="H120" i="51" s="1"/>
  <c r="F120" i="51"/>
  <c r="G104" i="51"/>
  <c r="G42" i="48"/>
  <c r="G40" i="48"/>
  <c r="H70" i="53"/>
  <c r="I70" i="53" s="1"/>
  <c r="H125" i="53"/>
  <c r="I125" i="53" s="1"/>
  <c r="I149" i="53"/>
  <c r="I145" i="53"/>
  <c r="I143" i="53"/>
  <c r="H141" i="53"/>
  <c r="H64" i="53"/>
  <c r="H119" i="53"/>
  <c r="H77" i="53"/>
  <c r="I77" i="53" s="1"/>
  <c r="H62" i="53"/>
  <c r="H58" i="53" s="1"/>
  <c r="I58" i="53" s="1"/>
  <c r="I6" i="53"/>
  <c r="F141" i="53"/>
  <c r="H64" i="51"/>
  <c r="H35" i="51"/>
  <c r="G33" i="47"/>
  <c r="G27" i="47"/>
  <c r="G33" i="51"/>
  <c r="G27" i="51"/>
  <c r="H52" i="48"/>
  <c r="H56" i="48"/>
  <c r="H92" i="48"/>
  <c r="H108" i="48"/>
  <c r="H106" i="48" s="1"/>
  <c r="H114" i="48"/>
  <c r="G94" i="48"/>
  <c r="G10" i="48"/>
  <c r="H58" i="48"/>
  <c r="G106" i="48"/>
  <c r="H112" i="48"/>
  <c r="H142" i="48"/>
  <c r="H138" i="48" s="1"/>
  <c r="I142" i="48"/>
  <c r="F110" i="48"/>
  <c r="I110" i="48" s="1"/>
  <c r="G138" i="48"/>
  <c r="G48" i="48"/>
  <c r="G20" i="48"/>
  <c r="G118" i="48"/>
  <c r="G60" i="48"/>
  <c r="I108" i="48"/>
  <c r="G100" i="48"/>
  <c r="H54" i="48"/>
  <c r="I54" i="48"/>
  <c r="I36" i="48"/>
  <c r="H36" i="48"/>
  <c r="H34" i="48" s="1"/>
  <c r="H32" i="48"/>
  <c r="H30" i="48" s="1"/>
  <c r="I32" i="48"/>
  <c r="F30" i="48"/>
  <c r="I30" i="48" s="1"/>
  <c r="H12" i="48"/>
  <c r="I64" i="51"/>
  <c r="H157" i="47"/>
  <c r="G191" i="47"/>
  <c r="G110" i="48"/>
  <c r="R168" i="59" l="1"/>
  <c r="F99" i="47"/>
  <c r="F40" i="48"/>
  <c r="H77" i="47"/>
  <c r="F99" i="49"/>
  <c r="F25" i="50"/>
  <c r="H147" i="53"/>
  <c r="I147" i="53" s="1"/>
  <c r="I64" i="49"/>
  <c r="F25" i="51"/>
  <c r="I25" i="51" s="1"/>
  <c r="G199" i="51"/>
  <c r="H199" i="51" s="1"/>
  <c r="I70" i="49"/>
  <c r="I33" i="50"/>
  <c r="G38" i="48"/>
  <c r="G2" i="48"/>
  <c r="I119" i="47"/>
  <c r="I70" i="47"/>
  <c r="I70" i="51"/>
  <c r="I119" i="49"/>
  <c r="F18" i="48"/>
  <c r="L10" i="44"/>
  <c r="I58" i="47"/>
  <c r="I11" i="47"/>
  <c r="F10" i="44"/>
  <c r="I11" i="50"/>
  <c r="I121" i="50"/>
  <c r="G68" i="48"/>
  <c r="F42" i="48"/>
  <c r="H56" i="51"/>
  <c r="F84" i="48"/>
  <c r="F44" i="48"/>
  <c r="I10" i="44"/>
  <c r="I58" i="49"/>
  <c r="I77" i="51"/>
  <c r="I71" i="50"/>
  <c r="I78" i="50"/>
  <c r="I59" i="50"/>
  <c r="I120" i="51"/>
  <c r="I65" i="50"/>
  <c r="F56" i="51"/>
  <c r="I58" i="51"/>
  <c r="F57" i="50"/>
  <c r="I141" i="53"/>
  <c r="G25" i="47"/>
  <c r="G25" i="49"/>
  <c r="G25" i="50"/>
  <c r="G18" i="48"/>
  <c r="G25" i="51"/>
  <c r="G198" i="51" s="1"/>
  <c r="G16" i="48"/>
  <c r="H110" i="48"/>
  <c r="G144" i="48"/>
  <c r="I269" i="37"/>
  <c r="G269" i="37"/>
  <c r="F46" i="49" s="1"/>
  <c r="E269" i="37"/>
  <c r="F47" i="50" s="1"/>
  <c r="C269" i="37"/>
  <c r="F46" i="51" s="1"/>
  <c r="M268" i="37"/>
  <c r="M267" i="37"/>
  <c r="M266" i="37"/>
  <c r="M265" i="37"/>
  <c r="M264" i="37"/>
  <c r="F44" i="49"/>
  <c r="F45" i="50"/>
  <c r="F44" i="51"/>
  <c r="I245" i="37"/>
  <c r="G245" i="37"/>
  <c r="E245" i="37"/>
  <c r="C245" i="37"/>
  <c r="M244" i="37"/>
  <c r="M243" i="37"/>
  <c r="M242" i="37"/>
  <c r="I239" i="37"/>
  <c r="G239" i="37"/>
  <c r="E239" i="37"/>
  <c r="C239" i="37"/>
  <c r="M238" i="37"/>
  <c r="M237" i="37"/>
  <c r="M236" i="37"/>
  <c r="I233" i="37"/>
  <c r="G233" i="37"/>
  <c r="E233" i="37"/>
  <c r="C233" i="37"/>
  <c r="M232" i="37"/>
  <c r="M231" i="37"/>
  <c r="M230" i="37"/>
  <c r="I227" i="37"/>
  <c r="G227" i="37"/>
  <c r="E227" i="37"/>
  <c r="C227" i="37"/>
  <c r="M226" i="37"/>
  <c r="M225" i="37"/>
  <c r="M224" i="37"/>
  <c r="I217" i="37"/>
  <c r="G217" i="37"/>
  <c r="E217" i="37"/>
  <c r="C217" i="37"/>
  <c r="M216" i="37"/>
  <c r="M215" i="37"/>
  <c r="M214" i="37"/>
  <c r="I211" i="37"/>
  <c r="G211" i="37"/>
  <c r="E211" i="37"/>
  <c r="C211" i="37"/>
  <c r="M210" i="37"/>
  <c r="M209" i="37"/>
  <c r="M208" i="37"/>
  <c r="I205" i="37"/>
  <c r="G205" i="37"/>
  <c r="E205" i="37"/>
  <c r="C205" i="37"/>
  <c r="M204" i="37"/>
  <c r="M203" i="37"/>
  <c r="M202" i="37"/>
  <c r="C199" i="37"/>
  <c r="M198" i="37"/>
  <c r="M197" i="37"/>
  <c r="M199" i="37" s="1"/>
  <c r="F101" i="49"/>
  <c r="F103" i="50"/>
  <c r="M188" i="37"/>
  <c r="M187" i="37"/>
  <c r="M189" i="37" s="1"/>
  <c r="F135" i="49"/>
  <c r="F137" i="50"/>
  <c r="M175" i="37"/>
  <c r="M174" i="37"/>
  <c r="F115" i="49"/>
  <c r="F117" i="50"/>
  <c r="C123" i="37"/>
  <c r="F116" i="51" s="1"/>
  <c r="M122" i="37"/>
  <c r="M121" i="37"/>
  <c r="M120" i="37"/>
  <c r="C111" i="37"/>
  <c r="I97" i="37"/>
  <c r="G97" i="37"/>
  <c r="F111" i="49" s="1"/>
  <c r="E97" i="37"/>
  <c r="F113" i="50" s="1"/>
  <c r="C97" i="37"/>
  <c r="F112" i="51" s="1"/>
  <c r="M96" i="37"/>
  <c r="M95" i="37"/>
  <c r="M94" i="37"/>
  <c r="M93" i="37"/>
  <c r="M92" i="37"/>
  <c r="F109" i="49"/>
  <c r="F111" i="50"/>
  <c r="C85" i="37"/>
  <c r="F110" i="51" s="1"/>
  <c r="M84" i="37"/>
  <c r="M83" i="37"/>
  <c r="M82" i="37"/>
  <c r="F107" i="49"/>
  <c r="F109" i="50"/>
  <c r="C73" i="37"/>
  <c r="C24" i="37"/>
  <c r="M23" i="37"/>
  <c r="M22" i="37"/>
  <c r="M21" i="37"/>
  <c r="M20" i="37"/>
  <c r="I297" i="37"/>
  <c r="G297" i="37"/>
  <c r="F183" i="49" s="1"/>
  <c r="E297" i="37"/>
  <c r="F185" i="50" s="1"/>
  <c r="C297" i="37"/>
  <c r="F184" i="51" s="1"/>
  <c r="M296" i="37"/>
  <c r="M295" i="37"/>
  <c r="M294" i="37"/>
  <c r="I291" i="37"/>
  <c r="G291" i="37"/>
  <c r="F181" i="49" s="1"/>
  <c r="E291" i="37"/>
  <c r="F183" i="50" s="1"/>
  <c r="C291" i="37"/>
  <c r="F182" i="51" s="1"/>
  <c r="M290" i="37"/>
  <c r="M289" i="37"/>
  <c r="M288" i="37"/>
  <c r="I285" i="37"/>
  <c r="G285" i="37"/>
  <c r="F179" i="49" s="1"/>
  <c r="E285" i="37"/>
  <c r="F181" i="50" s="1"/>
  <c r="C285" i="37"/>
  <c r="F180" i="51" s="1"/>
  <c r="M284" i="37"/>
  <c r="M283" i="37"/>
  <c r="M282" i="37"/>
  <c r="F177" i="49"/>
  <c r="F179" i="50"/>
  <c r="F178" i="51"/>
  <c r="M145" i="37"/>
  <c r="M146" i="37" s="1"/>
  <c r="F117" i="49"/>
  <c r="F119" i="50"/>
  <c r="C134" i="37"/>
  <c r="F118" i="51" s="1"/>
  <c r="M133" i="37"/>
  <c r="M134" i="37" s="1"/>
  <c r="F105" i="49"/>
  <c r="F107" i="50"/>
  <c r="C61" i="37"/>
  <c r="F106" i="51" s="1"/>
  <c r="M60" i="37"/>
  <c r="M59" i="37"/>
  <c r="M58" i="37"/>
  <c r="C12" i="37"/>
  <c r="S245" i="14"/>
  <c r="K245" i="14"/>
  <c r="H245" i="14"/>
  <c r="P245" i="14"/>
  <c r="G120" i="14"/>
  <c r="G119" i="14"/>
  <c r="G118" i="14"/>
  <c r="G117" i="14"/>
  <c r="G116" i="14"/>
  <c r="G115" i="14"/>
  <c r="G114" i="14"/>
  <c r="G113" i="14"/>
  <c r="G112" i="14"/>
  <c r="G111" i="14"/>
  <c r="G110" i="14"/>
  <c r="Q8" i="14"/>
  <c r="R8" i="14"/>
  <c r="I121" i="15"/>
  <c r="F173" i="47" s="1"/>
  <c r="G121" i="15"/>
  <c r="F173" i="49" s="1"/>
  <c r="E121" i="15"/>
  <c r="F175" i="50" s="1"/>
  <c r="C121" i="15"/>
  <c r="F174" i="51" s="1"/>
  <c r="F171" i="47"/>
  <c r="F171" i="49"/>
  <c r="F173" i="50"/>
  <c r="F172" i="51"/>
  <c r="I103" i="15"/>
  <c r="F169" i="47" s="1"/>
  <c r="G103" i="15"/>
  <c r="F169" i="49" s="1"/>
  <c r="E103" i="15"/>
  <c r="F171" i="50" s="1"/>
  <c r="C103" i="15"/>
  <c r="F170" i="51" s="1"/>
  <c r="C11" i="15"/>
  <c r="C78" i="15"/>
  <c r="C57" i="15"/>
  <c r="F9" i="51" s="1"/>
  <c r="E57" i="15"/>
  <c r="F9" i="50" s="1"/>
  <c r="E5" i="44" s="1"/>
  <c r="G5" i="44" s="1"/>
  <c r="G57" i="15"/>
  <c r="F9" i="49" s="1"/>
  <c r="I57" i="15"/>
  <c r="C97" i="15"/>
  <c r="F168" i="51" s="1"/>
  <c r="I97" i="15"/>
  <c r="F167" i="47" s="1"/>
  <c r="G97" i="15"/>
  <c r="F167" i="49" s="1"/>
  <c r="E97" i="15"/>
  <c r="F169" i="50" s="1"/>
  <c r="F85" i="47"/>
  <c r="F85" i="49"/>
  <c r="F87" i="50"/>
  <c r="H19" i="53"/>
  <c r="H20" i="53"/>
  <c r="H21" i="53"/>
  <c r="H22" i="53"/>
  <c r="H13" i="53"/>
  <c r="H14" i="53"/>
  <c r="H15" i="53"/>
  <c r="H16" i="53"/>
  <c r="H17" i="53"/>
  <c r="H18" i="53"/>
  <c r="H12" i="53"/>
  <c r="M54" i="15"/>
  <c r="M55" i="15"/>
  <c r="M56" i="15"/>
  <c r="M53" i="15"/>
  <c r="I33" i="15"/>
  <c r="F7" i="50"/>
  <c r="H8" i="50"/>
  <c r="F7" i="49"/>
  <c r="F7" i="47"/>
  <c r="H37" i="53"/>
  <c r="H36" i="53"/>
  <c r="H35" i="53"/>
  <c r="H29" i="53"/>
  <c r="H30" i="53"/>
  <c r="H32" i="53"/>
  <c r="M85" i="37" l="1"/>
  <c r="M61" i="37"/>
  <c r="M24" i="37"/>
  <c r="M123" i="37"/>
  <c r="M176" i="37"/>
  <c r="G245" i="14"/>
  <c r="F108" i="51"/>
  <c r="H108" i="51" s="1"/>
  <c r="I108" i="51" s="1"/>
  <c r="F8" i="49"/>
  <c r="H8" i="49" s="1"/>
  <c r="C10" i="44"/>
  <c r="H18" i="48"/>
  <c r="I18" i="48" s="1"/>
  <c r="F14" i="49"/>
  <c r="F11" i="49" s="1"/>
  <c r="H5" i="44" s="1"/>
  <c r="J5" i="44" s="1"/>
  <c r="F113" i="49"/>
  <c r="H113" i="49" s="1"/>
  <c r="I113" i="49" s="1"/>
  <c r="F115" i="50"/>
  <c r="H115" i="50" s="1"/>
  <c r="I115" i="50" s="1"/>
  <c r="F114" i="51"/>
  <c r="H114" i="51" s="1"/>
  <c r="I114" i="51" s="1"/>
  <c r="P8" i="14"/>
  <c r="F150" i="51"/>
  <c r="F149" i="47"/>
  <c r="S8" i="14"/>
  <c r="H42" i="48"/>
  <c r="I42" i="48" s="1"/>
  <c r="H44" i="48"/>
  <c r="I44" i="48" s="1"/>
  <c r="H84" i="48"/>
  <c r="I84" i="48" s="1"/>
  <c r="H40" i="48"/>
  <c r="I40" i="48" s="1"/>
  <c r="M66" i="15"/>
  <c r="F14" i="51"/>
  <c r="H7" i="49"/>
  <c r="G14" i="48"/>
  <c r="H11" i="53"/>
  <c r="I11" i="53" s="1"/>
  <c r="H7" i="47"/>
  <c r="H7" i="50"/>
  <c r="H6" i="50" s="1"/>
  <c r="F6" i="50"/>
  <c r="F86" i="51"/>
  <c r="H86" i="51" s="1"/>
  <c r="H84" i="51" s="1"/>
  <c r="H167" i="49"/>
  <c r="I167" i="49"/>
  <c r="F165" i="49"/>
  <c r="I165" i="49" s="1"/>
  <c r="H172" i="51"/>
  <c r="I172" i="51"/>
  <c r="H34" i="53"/>
  <c r="H33" i="53" s="1"/>
  <c r="I33" i="53" s="1"/>
  <c r="H85" i="47"/>
  <c r="H83" i="47" s="1"/>
  <c r="F83" i="47"/>
  <c r="I85" i="47"/>
  <c r="I171" i="47"/>
  <c r="H171" i="47"/>
  <c r="I171" i="50"/>
  <c r="H171" i="50"/>
  <c r="F9" i="47"/>
  <c r="K5" i="44" s="1"/>
  <c r="M5" i="44" s="1"/>
  <c r="F9" i="53"/>
  <c r="H169" i="47"/>
  <c r="I169" i="47"/>
  <c r="H175" i="50"/>
  <c r="I175" i="50"/>
  <c r="H28" i="53"/>
  <c r="H27" i="53" s="1"/>
  <c r="F8" i="47"/>
  <c r="H8" i="47" s="1"/>
  <c r="H7" i="53"/>
  <c r="H8" i="53"/>
  <c r="F167" i="50"/>
  <c r="I167" i="50" s="1"/>
  <c r="H169" i="50"/>
  <c r="I169" i="50"/>
  <c r="H169" i="49"/>
  <c r="I169" i="49"/>
  <c r="I174" i="51"/>
  <c r="H174" i="51"/>
  <c r="F83" i="49"/>
  <c r="H85" i="49"/>
  <c r="H83" i="49" s="1"/>
  <c r="I85" i="49"/>
  <c r="H168" i="51"/>
  <c r="I168" i="51"/>
  <c r="F166" i="51"/>
  <c r="I166" i="51" s="1"/>
  <c r="I171" i="49"/>
  <c r="H171" i="49"/>
  <c r="I173" i="47"/>
  <c r="H173" i="47"/>
  <c r="H87" i="50"/>
  <c r="H85" i="50" s="1"/>
  <c r="I87" i="50"/>
  <c r="F85" i="50"/>
  <c r="I85" i="50" s="1"/>
  <c r="I167" i="47"/>
  <c r="H167" i="47"/>
  <c r="F165" i="47"/>
  <c r="I165" i="47" s="1"/>
  <c r="H170" i="51"/>
  <c r="I170" i="51"/>
  <c r="H173" i="50"/>
  <c r="I173" i="50"/>
  <c r="I173" i="49"/>
  <c r="H173" i="49"/>
  <c r="F41" i="50"/>
  <c r="H41" i="50" s="1"/>
  <c r="F42" i="49"/>
  <c r="H42" i="49" s="1"/>
  <c r="H135" i="49"/>
  <c r="I135" i="49" s="1"/>
  <c r="H137" i="50"/>
  <c r="I137" i="50" s="1"/>
  <c r="F135" i="47"/>
  <c r="F107" i="47"/>
  <c r="H107" i="49"/>
  <c r="I107" i="49" s="1"/>
  <c r="H109" i="50"/>
  <c r="I109" i="50" s="1"/>
  <c r="H178" i="51"/>
  <c r="F176" i="51"/>
  <c r="I178" i="51"/>
  <c r="I181" i="50"/>
  <c r="H181" i="50"/>
  <c r="H181" i="49"/>
  <c r="I181" i="49"/>
  <c r="F183" i="47"/>
  <c r="F136" i="48" s="1"/>
  <c r="I136" i="48" s="1"/>
  <c r="F179" i="47"/>
  <c r="F132" i="48" s="1"/>
  <c r="F177" i="47"/>
  <c r="F130" i="48" s="1"/>
  <c r="I180" i="51"/>
  <c r="H180" i="51"/>
  <c r="I183" i="50"/>
  <c r="H183" i="50"/>
  <c r="H183" i="49"/>
  <c r="I183" i="49"/>
  <c r="I177" i="49"/>
  <c r="H177" i="49"/>
  <c r="F175" i="49"/>
  <c r="H182" i="51"/>
  <c r="I182" i="51"/>
  <c r="H185" i="50"/>
  <c r="I185" i="50"/>
  <c r="H179" i="50"/>
  <c r="I179" i="50"/>
  <c r="F177" i="50"/>
  <c r="H179" i="49"/>
  <c r="I179" i="49"/>
  <c r="F181" i="47"/>
  <c r="F134" i="48" s="1"/>
  <c r="H184" i="51"/>
  <c r="I184" i="51"/>
  <c r="H137" i="49"/>
  <c r="I137" i="49" s="1"/>
  <c r="H139" i="50"/>
  <c r="I139" i="50" s="1"/>
  <c r="H138" i="51"/>
  <c r="I138" i="51" s="1"/>
  <c r="H46" i="49"/>
  <c r="I46" i="49"/>
  <c r="I47" i="50"/>
  <c r="H47" i="50"/>
  <c r="I46" i="51"/>
  <c r="H46" i="51"/>
  <c r="F46" i="47"/>
  <c r="F28" i="48" s="1"/>
  <c r="F44" i="47"/>
  <c r="F26" i="48" s="1"/>
  <c r="H45" i="50"/>
  <c r="I45" i="50" s="1"/>
  <c r="H44" i="51"/>
  <c r="I44" i="51" s="1"/>
  <c r="H44" i="49"/>
  <c r="I44" i="49" s="1"/>
  <c r="F42" i="51"/>
  <c r="F42" i="47"/>
  <c r="M227" i="37"/>
  <c r="F43" i="50"/>
  <c r="F40" i="49"/>
  <c r="H40" i="49" s="1"/>
  <c r="F40" i="51"/>
  <c r="F40" i="47"/>
  <c r="F101" i="47"/>
  <c r="H101" i="49"/>
  <c r="I101" i="49" s="1"/>
  <c r="H103" i="50"/>
  <c r="I103" i="50" s="1"/>
  <c r="H118" i="51"/>
  <c r="I118" i="51" s="1"/>
  <c r="F117" i="47"/>
  <c r="F82" i="48" s="1"/>
  <c r="H119" i="50"/>
  <c r="I119" i="50" s="1"/>
  <c r="H117" i="49"/>
  <c r="I117" i="49" s="1"/>
  <c r="H117" i="50"/>
  <c r="I117" i="50" s="1"/>
  <c r="F115" i="47"/>
  <c r="H116" i="51"/>
  <c r="I116" i="51" s="1"/>
  <c r="H115" i="49"/>
  <c r="I115" i="49" s="1"/>
  <c r="I112" i="51"/>
  <c r="H112" i="51"/>
  <c r="F111" i="47"/>
  <c r="F76" i="48" s="1"/>
  <c r="I111" i="49"/>
  <c r="H111" i="49"/>
  <c r="H113" i="50"/>
  <c r="I113" i="50"/>
  <c r="H110" i="51"/>
  <c r="I110" i="51" s="1"/>
  <c r="H109" i="49"/>
  <c r="I109" i="49" s="1"/>
  <c r="F109" i="47"/>
  <c r="F74" i="48" s="1"/>
  <c r="H111" i="50"/>
  <c r="I111" i="50" s="1"/>
  <c r="F105" i="47"/>
  <c r="F70" i="48" s="1"/>
  <c r="H105" i="49"/>
  <c r="I105" i="49" s="1"/>
  <c r="H107" i="50"/>
  <c r="I107" i="50" s="1"/>
  <c r="H106" i="51"/>
  <c r="I106" i="51" s="1"/>
  <c r="O120" i="14"/>
  <c r="J120" i="14"/>
  <c r="I120" i="14"/>
  <c r="O112" i="14"/>
  <c r="J112" i="14"/>
  <c r="I112" i="14"/>
  <c r="O116" i="14"/>
  <c r="J116" i="14"/>
  <c r="I116" i="14"/>
  <c r="O111" i="14"/>
  <c r="I111" i="14"/>
  <c r="J111" i="14"/>
  <c r="O115" i="14"/>
  <c r="I115" i="14"/>
  <c r="J115" i="14"/>
  <c r="O119" i="14"/>
  <c r="I119" i="14"/>
  <c r="J119" i="14"/>
  <c r="J110" i="14"/>
  <c r="I110" i="14"/>
  <c r="O114" i="14"/>
  <c r="J114" i="14"/>
  <c r="I114" i="14"/>
  <c r="O118" i="14"/>
  <c r="J118" i="14"/>
  <c r="I118" i="14"/>
  <c r="O113" i="14"/>
  <c r="I113" i="14"/>
  <c r="J113" i="14"/>
  <c r="O117" i="14"/>
  <c r="I117" i="14"/>
  <c r="J117" i="14"/>
  <c r="F145" i="47"/>
  <c r="F145" i="50"/>
  <c r="F143" i="49"/>
  <c r="F143" i="47"/>
  <c r="F146" i="51"/>
  <c r="O110" i="14"/>
  <c r="G200" i="51"/>
  <c r="H200" i="51" s="1"/>
  <c r="C6" i="44"/>
  <c r="G163" i="47"/>
  <c r="G193" i="47" s="1"/>
  <c r="H25" i="47"/>
  <c r="G197" i="47"/>
  <c r="G163" i="49"/>
  <c r="G193" i="49" s="1"/>
  <c r="G197" i="49"/>
  <c r="H25" i="50"/>
  <c r="I25" i="50" s="1"/>
  <c r="G199" i="50"/>
  <c r="F6" i="44" s="1"/>
  <c r="F19" i="44" s="1"/>
  <c r="G165" i="50"/>
  <c r="G195" i="50" s="1"/>
  <c r="G164" i="51"/>
  <c r="G194" i="51" s="1"/>
  <c r="H25" i="51"/>
  <c r="H198" i="51"/>
  <c r="I9" i="50"/>
  <c r="H9" i="50"/>
  <c r="H9" i="49"/>
  <c r="I9" i="49"/>
  <c r="I9" i="51"/>
  <c r="H9" i="51"/>
  <c r="G151" i="48"/>
  <c r="M233" i="37"/>
  <c r="M121" i="15"/>
  <c r="F173" i="53" s="1"/>
  <c r="M269" i="37"/>
  <c r="M239" i="37"/>
  <c r="M245" i="37"/>
  <c r="M217" i="37"/>
  <c r="M205" i="37"/>
  <c r="M211" i="37"/>
  <c r="M97" i="37"/>
  <c r="M285" i="37"/>
  <c r="M291" i="37"/>
  <c r="M297" i="37"/>
  <c r="M103" i="15"/>
  <c r="F169" i="53" s="1"/>
  <c r="M97" i="15"/>
  <c r="F167" i="53" s="1"/>
  <c r="F120" i="48" s="1"/>
  <c r="F171" i="53"/>
  <c r="F124" i="48" s="1"/>
  <c r="M57" i="15"/>
  <c r="F4" i="53"/>
  <c r="F2" i="53" s="1"/>
  <c r="L24" i="15"/>
  <c r="C19" i="44" l="1"/>
  <c r="M70" i="15"/>
  <c r="M126" i="15" s="1"/>
  <c r="F85" i="53"/>
  <c r="F50" i="48" s="1"/>
  <c r="F72" i="48"/>
  <c r="F6" i="49"/>
  <c r="H4" i="44" s="1"/>
  <c r="J4" i="44" s="1"/>
  <c r="H6" i="49"/>
  <c r="F24" i="15"/>
  <c r="I83" i="49"/>
  <c r="F77" i="49"/>
  <c r="H9" i="47"/>
  <c r="H14" i="49"/>
  <c r="H11" i="49" s="1"/>
  <c r="I11" i="49" s="1"/>
  <c r="F39" i="50"/>
  <c r="E8" i="44" s="1"/>
  <c r="G8" i="44" s="1"/>
  <c r="Q117" i="14"/>
  <c r="R117" i="14"/>
  <c r="Q111" i="14"/>
  <c r="R111" i="14"/>
  <c r="R114" i="14"/>
  <c r="Q114" i="14"/>
  <c r="Q115" i="14"/>
  <c r="R115" i="14"/>
  <c r="R120" i="14"/>
  <c r="Q120" i="14"/>
  <c r="F147" i="47"/>
  <c r="H149" i="47"/>
  <c r="R118" i="14"/>
  <c r="Q118" i="14"/>
  <c r="Q119" i="14"/>
  <c r="R119" i="14"/>
  <c r="R112" i="14"/>
  <c r="Q112" i="14"/>
  <c r="F148" i="51"/>
  <c r="H150" i="51"/>
  <c r="H148" i="51" s="1"/>
  <c r="R110" i="14"/>
  <c r="Q110" i="14"/>
  <c r="Q113" i="14"/>
  <c r="R113" i="14"/>
  <c r="R116" i="14"/>
  <c r="Q116" i="14"/>
  <c r="I9" i="47"/>
  <c r="F22" i="48"/>
  <c r="I130" i="48"/>
  <c r="H130" i="48"/>
  <c r="I42" i="49"/>
  <c r="H14" i="51"/>
  <c r="H11" i="51" s="1"/>
  <c r="F11" i="51"/>
  <c r="F4" i="48"/>
  <c r="H4" i="53"/>
  <c r="I4" i="53" s="1"/>
  <c r="H2" i="53"/>
  <c r="I2" i="53" s="1"/>
  <c r="H134" i="48"/>
  <c r="I134" i="48"/>
  <c r="I132" i="48"/>
  <c r="H132" i="48"/>
  <c r="H6" i="47"/>
  <c r="F6" i="47"/>
  <c r="F80" i="48"/>
  <c r="F90" i="48"/>
  <c r="H136" i="48"/>
  <c r="F128" i="48"/>
  <c r="I128" i="48" s="1"/>
  <c r="I6" i="50"/>
  <c r="E4" i="44"/>
  <c r="G4" i="44" s="1"/>
  <c r="F2" i="50"/>
  <c r="H2" i="50" s="1"/>
  <c r="I2" i="50" s="1"/>
  <c r="F24" i="48"/>
  <c r="F8" i="48"/>
  <c r="I8" i="48" s="1"/>
  <c r="I86" i="51"/>
  <c r="F84" i="51"/>
  <c r="I84" i="51" s="1"/>
  <c r="G25" i="53"/>
  <c r="G163" i="53" s="1"/>
  <c r="G193" i="53" s="1"/>
  <c r="H165" i="49"/>
  <c r="H6" i="53"/>
  <c r="H167" i="50"/>
  <c r="H124" i="48"/>
  <c r="I124" i="48" s="1"/>
  <c r="I120" i="48"/>
  <c r="H120" i="48"/>
  <c r="H173" i="53"/>
  <c r="I173" i="53"/>
  <c r="H166" i="51"/>
  <c r="H9" i="53"/>
  <c r="I9" i="53"/>
  <c r="F126" i="48"/>
  <c r="H165" i="47"/>
  <c r="H169" i="53"/>
  <c r="I169" i="53"/>
  <c r="I83" i="47"/>
  <c r="I167" i="53"/>
  <c r="H167" i="53"/>
  <c r="F165" i="53"/>
  <c r="H171" i="53"/>
  <c r="F122" i="48"/>
  <c r="F38" i="51"/>
  <c r="B8" i="44" s="1"/>
  <c r="D8" i="44" s="1"/>
  <c r="F38" i="49"/>
  <c r="H8" i="44" s="1"/>
  <c r="J8" i="44" s="1"/>
  <c r="I41" i="50"/>
  <c r="H135" i="47"/>
  <c r="I135" i="47" s="1"/>
  <c r="H107" i="53"/>
  <c r="I107" i="53" s="1"/>
  <c r="H107" i="47"/>
  <c r="I107" i="47" s="1"/>
  <c r="I181" i="53"/>
  <c r="H181" i="53"/>
  <c r="I177" i="53"/>
  <c r="H177" i="53"/>
  <c r="F175" i="53"/>
  <c r="I183" i="47"/>
  <c r="H183" i="47"/>
  <c r="I181" i="47"/>
  <c r="H181" i="47"/>
  <c r="E11" i="44"/>
  <c r="G11" i="44" s="1"/>
  <c r="I177" i="50"/>
  <c r="F193" i="50"/>
  <c r="I193" i="50" s="1"/>
  <c r="H11" i="44"/>
  <c r="J11" i="44" s="1"/>
  <c r="F191" i="49"/>
  <c r="I191" i="49" s="1"/>
  <c r="I175" i="49"/>
  <c r="H179" i="53"/>
  <c r="I179" i="53"/>
  <c r="I176" i="51"/>
  <c r="F192" i="51"/>
  <c r="I192" i="51" s="1"/>
  <c r="B11" i="44"/>
  <c r="D11" i="44" s="1"/>
  <c r="H175" i="49"/>
  <c r="H177" i="50"/>
  <c r="H179" i="47"/>
  <c r="I179" i="47"/>
  <c r="H177" i="47"/>
  <c r="F175" i="47"/>
  <c r="I177" i="47"/>
  <c r="I183" i="53"/>
  <c r="H183" i="53"/>
  <c r="H176" i="51"/>
  <c r="H137" i="47"/>
  <c r="I137" i="47" s="1"/>
  <c r="H137" i="53"/>
  <c r="I137" i="53"/>
  <c r="H46" i="47"/>
  <c r="I46" i="47"/>
  <c r="I46" i="53"/>
  <c r="H46" i="53"/>
  <c r="H44" i="47"/>
  <c r="I44" i="47" s="1"/>
  <c r="H44" i="53"/>
  <c r="I44" i="53" s="1"/>
  <c r="H42" i="51"/>
  <c r="I42" i="51"/>
  <c r="H43" i="50"/>
  <c r="H39" i="50" s="1"/>
  <c r="I43" i="50"/>
  <c r="H42" i="47"/>
  <c r="I42" i="47"/>
  <c r="H42" i="53"/>
  <c r="I42" i="53"/>
  <c r="H38" i="49"/>
  <c r="I40" i="49"/>
  <c r="I40" i="51"/>
  <c r="H40" i="51"/>
  <c r="H40" i="47"/>
  <c r="I40" i="47" s="1"/>
  <c r="F38" i="47"/>
  <c r="I40" i="53"/>
  <c r="H40" i="53"/>
  <c r="F38" i="53"/>
  <c r="H101" i="47"/>
  <c r="I101" i="47" s="1"/>
  <c r="H101" i="53"/>
  <c r="I101" i="53" s="1"/>
  <c r="H117" i="53"/>
  <c r="I117" i="53" s="1"/>
  <c r="H117" i="47"/>
  <c r="I117" i="47" s="1"/>
  <c r="H82" i="48"/>
  <c r="I82" i="48" s="1"/>
  <c r="H115" i="53"/>
  <c r="I115" i="53" s="1"/>
  <c r="H115" i="47"/>
  <c r="I115" i="47" s="1"/>
  <c r="I111" i="53"/>
  <c r="H111" i="53"/>
  <c r="I111" i="47"/>
  <c r="H111" i="47"/>
  <c r="I76" i="48"/>
  <c r="H76" i="48"/>
  <c r="H109" i="47"/>
  <c r="I109" i="47" s="1"/>
  <c r="H109" i="53"/>
  <c r="I109" i="53" s="1"/>
  <c r="H105" i="53"/>
  <c r="I105" i="53" s="1"/>
  <c r="H105" i="47"/>
  <c r="I105" i="47" s="1"/>
  <c r="J245" i="14"/>
  <c r="O245" i="14"/>
  <c r="I245" i="14"/>
  <c r="F141" i="47"/>
  <c r="H145" i="47"/>
  <c r="I145" i="47" s="1"/>
  <c r="H143" i="49"/>
  <c r="I143" i="49" s="1"/>
  <c r="H143" i="47"/>
  <c r="I143" i="47" s="1"/>
  <c r="H145" i="50"/>
  <c r="I145" i="50" s="1"/>
  <c r="H146" i="51"/>
  <c r="I146" i="51" s="1"/>
  <c r="G150" i="48"/>
  <c r="G199" i="49"/>
  <c r="H199" i="49" s="1"/>
  <c r="I6" i="44"/>
  <c r="I19" i="44" s="1"/>
  <c r="H197" i="47"/>
  <c r="L6" i="44"/>
  <c r="L19" i="44" s="1"/>
  <c r="G199" i="47"/>
  <c r="H199" i="47" s="1"/>
  <c r="G116" i="48"/>
  <c r="G146" i="48" s="1"/>
  <c r="H197" i="49"/>
  <c r="G201" i="50"/>
  <c r="H201" i="50" s="1"/>
  <c r="H199" i="50"/>
  <c r="F83" i="53" l="1"/>
  <c r="F197" i="53" s="1"/>
  <c r="H85" i="53"/>
  <c r="H83" i="53" s="1"/>
  <c r="I83" i="53" s="1"/>
  <c r="H72" i="48"/>
  <c r="I72" i="48" s="1"/>
  <c r="F2" i="49"/>
  <c r="H2" i="49" s="1"/>
  <c r="I2" i="49" s="1"/>
  <c r="I6" i="49"/>
  <c r="F191" i="53"/>
  <c r="F56" i="49"/>
  <c r="I77" i="49"/>
  <c r="I148" i="51"/>
  <c r="I39" i="50"/>
  <c r="H22" i="48"/>
  <c r="I22" i="48" s="1"/>
  <c r="I149" i="47"/>
  <c r="H147" i="47"/>
  <c r="I147" i="47" s="1"/>
  <c r="Q245" i="14"/>
  <c r="R245" i="14"/>
  <c r="F149" i="49" s="1"/>
  <c r="I150" i="51"/>
  <c r="H4" i="48"/>
  <c r="I4" i="48" s="1"/>
  <c r="H90" i="48"/>
  <c r="I90" i="48" s="1"/>
  <c r="I11" i="51"/>
  <c r="F10" i="48"/>
  <c r="B5" i="44"/>
  <c r="D5" i="44" s="1"/>
  <c r="H193" i="50"/>
  <c r="H128" i="48"/>
  <c r="K4" i="44"/>
  <c r="M4" i="44" s="1"/>
  <c r="F2" i="47"/>
  <c r="I6" i="47"/>
  <c r="H8" i="48"/>
  <c r="H191" i="49"/>
  <c r="H165" i="53"/>
  <c r="I165" i="53" s="1"/>
  <c r="I171" i="53"/>
  <c r="G197" i="53"/>
  <c r="G199" i="53" s="1"/>
  <c r="H199" i="53" s="1"/>
  <c r="H25" i="53"/>
  <c r="I25" i="53" s="1"/>
  <c r="H192" i="51"/>
  <c r="F118" i="48"/>
  <c r="F144" i="48" s="1"/>
  <c r="H50" i="48"/>
  <c r="H48" i="48" s="1"/>
  <c r="F48" i="48"/>
  <c r="I122" i="48"/>
  <c r="H122" i="48"/>
  <c r="I126" i="48"/>
  <c r="H126" i="48"/>
  <c r="I38" i="49"/>
  <c r="H38" i="51"/>
  <c r="I38" i="51" s="1"/>
  <c r="H80" i="48"/>
  <c r="I80" i="48" s="1"/>
  <c r="H38" i="47"/>
  <c r="I38" i="47" s="1"/>
  <c r="I175" i="53"/>
  <c r="K11" i="44"/>
  <c r="M11" i="44" s="1"/>
  <c r="I175" i="47"/>
  <c r="F191" i="47"/>
  <c r="I191" i="47" s="1"/>
  <c r="H175" i="47"/>
  <c r="H191" i="47" s="1"/>
  <c r="H175" i="53"/>
  <c r="I28" i="48"/>
  <c r="H28" i="48"/>
  <c r="H26" i="48"/>
  <c r="I26" i="48" s="1"/>
  <c r="I24" i="48"/>
  <c r="H24" i="48"/>
  <c r="F20" i="48"/>
  <c r="H38" i="53"/>
  <c r="I38" i="53" s="1"/>
  <c r="K8" i="44"/>
  <c r="M8" i="44" s="1"/>
  <c r="H74" i="48"/>
  <c r="H70" i="48"/>
  <c r="I70" i="48" s="1"/>
  <c r="F145" i="49"/>
  <c r="H145" i="49" s="1"/>
  <c r="I145" i="49" s="1"/>
  <c r="J246" i="14"/>
  <c r="F147" i="50"/>
  <c r="I246" i="14"/>
  <c r="H246" i="14"/>
  <c r="L246" i="14"/>
  <c r="K246" i="14"/>
  <c r="H141" i="47"/>
  <c r="I141" i="47" s="1"/>
  <c r="H99" i="50"/>
  <c r="I99" i="50" s="1"/>
  <c r="G152" i="48"/>
  <c r="I85" i="53" l="1"/>
  <c r="F151" i="50"/>
  <c r="H151" i="50" s="1"/>
  <c r="O250" i="14"/>
  <c r="S246" i="14"/>
  <c r="P246" i="14"/>
  <c r="Q246" i="14"/>
  <c r="R246" i="14"/>
  <c r="T246" i="14"/>
  <c r="F147" i="49"/>
  <c r="H149" i="49"/>
  <c r="H10" i="48"/>
  <c r="I10" i="48" s="1"/>
  <c r="H191" i="53"/>
  <c r="I191" i="53" s="1"/>
  <c r="H2" i="47"/>
  <c r="I2" i="47" s="1"/>
  <c r="F197" i="47"/>
  <c r="H118" i="48"/>
  <c r="H144" i="48" s="1"/>
  <c r="I144" i="48" s="1"/>
  <c r="I50" i="48"/>
  <c r="I48" i="48"/>
  <c r="H197" i="53"/>
  <c r="I197" i="53" s="1"/>
  <c r="H20" i="48"/>
  <c r="I20" i="48" s="1"/>
  <c r="I74" i="48"/>
  <c r="H97" i="53"/>
  <c r="I97" i="53" s="1"/>
  <c r="H141" i="49"/>
  <c r="F141" i="49"/>
  <c r="F143" i="50"/>
  <c r="F98" i="48"/>
  <c r="H147" i="50"/>
  <c r="I147" i="50" s="1"/>
  <c r="H99" i="49"/>
  <c r="I99" i="49" s="1"/>
  <c r="H97" i="47"/>
  <c r="I97" i="47" s="1"/>
  <c r="H97" i="49"/>
  <c r="I97" i="49" s="1"/>
  <c r="F95" i="49"/>
  <c r="H101" i="50"/>
  <c r="H97" i="50" s="1"/>
  <c r="F97" i="50"/>
  <c r="G6" i="14"/>
  <c r="G7" i="14" s="1"/>
  <c r="E16" i="21"/>
  <c r="F16" i="21"/>
  <c r="D16" i="21"/>
  <c r="F102" i="48" l="1"/>
  <c r="F149" i="50"/>
  <c r="H149" i="50"/>
  <c r="I151" i="50"/>
  <c r="H147" i="49"/>
  <c r="I147" i="49" s="1"/>
  <c r="I149" i="49"/>
  <c r="H143" i="50"/>
  <c r="I141" i="49"/>
  <c r="H98" i="48"/>
  <c r="I98" i="48" s="1"/>
  <c r="K6" i="44"/>
  <c r="M6" i="44" s="1"/>
  <c r="I197" i="47"/>
  <c r="I118" i="48"/>
  <c r="F8" i="51"/>
  <c r="H8" i="51" s="1"/>
  <c r="F95" i="53"/>
  <c r="I101" i="50"/>
  <c r="H99" i="47"/>
  <c r="H95" i="47" s="1"/>
  <c r="H9" i="44"/>
  <c r="E9" i="44"/>
  <c r="I97" i="50"/>
  <c r="H99" i="53"/>
  <c r="H95" i="53" s="1"/>
  <c r="H95" i="49"/>
  <c r="F95" i="47"/>
  <c r="O6" i="14"/>
  <c r="F199" i="50" l="1"/>
  <c r="I199" i="50" s="1"/>
  <c r="I149" i="50"/>
  <c r="F100" i="48"/>
  <c r="H102" i="48"/>
  <c r="I102" i="48" s="1"/>
  <c r="I143" i="50"/>
  <c r="H7" i="51"/>
  <c r="H6" i="51" s="1"/>
  <c r="F6" i="51"/>
  <c r="I99" i="47"/>
  <c r="I99" i="53"/>
  <c r="I95" i="53"/>
  <c r="I95" i="49"/>
  <c r="I95" i="47"/>
  <c r="K9" i="44"/>
  <c r="G9" i="44"/>
  <c r="J9" i="44"/>
  <c r="O7" i="14"/>
  <c r="E6" i="44" l="1"/>
  <c r="G6" i="44" s="1"/>
  <c r="H100" i="48"/>
  <c r="I100" i="48" s="1"/>
  <c r="I6" i="51"/>
  <c r="B4" i="44"/>
  <c r="D4" i="44" s="1"/>
  <c r="F2" i="51"/>
  <c r="F6" i="48"/>
  <c r="I8" i="14"/>
  <c r="K8" i="14"/>
  <c r="J8" i="14"/>
  <c r="F144" i="51"/>
  <c r="H8" i="14"/>
  <c r="M9" i="44"/>
  <c r="F64" i="48"/>
  <c r="F62" i="48"/>
  <c r="F2" i="48" l="1"/>
  <c r="H6" i="48"/>
  <c r="H2" i="51"/>
  <c r="I2" i="51" s="1"/>
  <c r="F198" i="51"/>
  <c r="F96" i="48"/>
  <c r="H144" i="51"/>
  <c r="H142" i="51" s="1"/>
  <c r="F142" i="51"/>
  <c r="H98" i="51"/>
  <c r="I98" i="51" s="1"/>
  <c r="B6" i="44" l="1"/>
  <c r="D6" i="44" s="1"/>
  <c r="I198" i="51"/>
  <c r="I6" i="48"/>
  <c r="H2" i="48"/>
  <c r="I2" i="48" s="1"/>
  <c r="I144" i="51"/>
  <c r="I142" i="51"/>
  <c r="H96" i="48"/>
  <c r="H94" i="48" s="1"/>
  <c r="F94" i="48"/>
  <c r="H100" i="51"/>
  <c r="H62" i="48"/>
  <c r="I62" i="48" s="1"/>
  <c r="I100" i="51" l="1"/>
  <c r="I96" i="48"/>
  <c r="I94" i="48"/>
  <c r="H64" i="48"/>
  <c r="I64" i="48" l="1"/>
  <c r="I56" i="51"/>
  <c r="D31" i="37" l="1"/>
  <c r="D118" i="37"/>
  <c r="D141" i="37"/>
  <c r="D153" i="37"/>
  <c r="F128" i="51" l="1"/>
  <c r="H128" i="51" s="1"/>
  <c r="C189" i="37" l="1"/>
  <c r="F102" i="51" l="1"/>
  <c r="H102" i="51" s="1"/>
  <c r="H96" i="51" s="1"/>
  <c r="F66" i="48" l="1"/>
  <c r="F96" i="51"/>
  <c r="I102" i="51"/>
  <c r="B9" i="44" l="1"/>
  <c r="D9" i="44" s="1"/>
  <c r="H66" i="48"/>
  <c r="H60" i="48" s="1"/>
  <c r="F60" i="48"/>
  <c r="I96" i="51"/>
  <c r="I60" i="48" l="1"/>
  <c r="I66" i="48"/>
  <c r="F82" i="47"/>
  <c r="F77" i="47" s="1"/>
  <c r="I77" i="47" l="1"/>
  <c r="F46" i="48"/>
  <c r="F56" i="47"/>
  <c r="F38" i="48" l="1"/>
  <c r="H46" i="48"/>
  <c r="H38" i="48" s="1"/>
  <c r="I46" i="48" l="1"/>
  <c r="I38" i="48"/>
  <c r="F32" i="49" l="1"/>
  <c r="F27" i="49" s="1"/>
  <c r="F16" i="48" l="1"/>
  <c r="I27" i="49"/>
  <c r="F25" i="49"/>
  <c r="H25" i="49" l="1"/>
  <c r="F197" i="49"/>
  <c r="H16" i="48"/>
  <c r="H14" i="48" s="1"/>
  <c r="F14" i="48"/>
  <c r="I25" i="49" l="1"/>
  <c r="I16" i="48"/>
  <c r="I14" i="48"/>
  <c r="F150" i="48"/>
  <c r="J150" i="48" s="1"/>
  <c r="I197" i="49"/>
  <c r="H6" i="44"/>
  <c r="H150" i="48" l="1"/>
  <c r="I150" i="48" s="1"/>
  <c r="F154" i="48"/>
  <c r="J6" i="44"/>
  <c r="K111" i="37"/>
  <c r="F113" i="53" l="1"/>
  <c r="H113" i="53" l="1"/>
  <c r="I113" i="53" l="1"/>
  <c r="M163" i="37"/>
  <c r="E163" i="37"/>
  <c r="E303" i="37" s="1"/>
  <c r="I163" i="37"/>
  <c r="C163" i="37"/>
  <c r="G163" i="37"/>
  <c r="G303" i="37" s="1"/>
  <c r="F132" i="49" l="1"/>
  <c r="F133" i="51"/>
  <c r="F132" i="47"/>
  <c r="F134" i="50"/>
  <c r="F127" i="50" l="1"/>
  <c r="H134" i="50"/>
  <c r="H127" i="50" s="1"/>
  <c r="H105" i="50" s="1"/>
  <c r="H57" i="50" s="1"/>
  <c r="F125" i="47"/>
  <c r="H132" i="47"/>
  <c r="H125" i="47" s="1"/>
  <c r="F126" i="51"/>
  <c r="H133" i="51"/>
  <c r="H126" i="51" s="1"/>
  <c r="H132" i="49"/>
  <c r="H125" i="49" s="1"/>
  <c r="H103" i="49" s="1"/>
  <c r="H56" i="49" s="1"/>
  <c r="F125" i="49"/>
  <c r="I126" i="51" l="1"/>
  <c r="F86" i="48"/>
  <c r="I125" i="49"/>
  <c r="F103" i="49"/>
  <c r="J95" i="49" s="1"/>
  <c r="I125" i="47"/>
  <c r="I57" i="50"/>
  <c r="H165" i="50"/>
  <c r="H195" i="50" s="1"/>
  <c r="H163" i="49"/>
  <c r="H193" i="49" s="1"/>
  <c r="I56" i="49"/>
  <c r="I127" i="50"/>
  <c r="F105" i="50"/>
  <c r="J97" i="50" s="1"/>
  <c r="F165" i="50" l="1"/>
  <c r="I105" i="50"/>
  <c r="F200" i="50"/>
  <c r="H86" i="48"/>
  <c r="F163" i="49"/>
  <c r="I103" i="49"/>
  <c r="F198" i="49"/>
  <c r="I86" i="48" l="1"/>
  <c r="E10" i="44"/>
  <c r="F201" i="50"/>
  <c r="I201" i="50" s="1"/>
  <c r="I200" i="50"/>
  <c r="F193" i="49"/>
  <c r="I193" i="49" s="1"/>
  <c r="I163" i="49"/>
  <c r="H10" i="44"/>
  <c r="F199" i="49"/>
  <c r="I199" i="49" s="1"/>
  <c r="I198" i="49"/>
  <c r="F195" i="50"/>
  <c r="I195" i="50" s="1"/>
  <c r="I165" i="50"/>
  <c r="E19" i="44" l="1"/>
  <c r="G10" i="44"/>
  <c r="H19" i="44"/>
  <c r="J10" i="44"/>
  <c r="C176" i="37"/>
  <c r="C303" i="37" s="1"/>
  <c r="F136" i="51" l="1"/>
  <c r="F104" i="51" l="1"/>
  <c r="J96" i="51" s="1"/>
  <c r="H136" i="51"/>
  <c r="H104" i="51" s="1"/>
  <c r="H164" i="51" s="1"/>
  <c r="H194" i="51" s="1"/>
  <c r="I136" i="51" l="1"/>
  <c r="F164" i="51"/>
  <c r="I104" i="51"/>
  <c r="F199" i="51"/>
  <c r="F194" i="51" l="1"/>
  <c r="I194" i="51" s="1"/>
  <c r="I164" i="51"/>
  <c r="B10" i="44"/>
  <c r="F200" i="51"/>
  <c r="I200" i="51" s="1"/>
  <c r="I199" i="51"/>
  <c r="D10" i="44" l="1"/>
  <c r="B19" i="44"/>
  <c r="D19" i="44" s="1"/>
  <c r="K176" i="37"/>
  <c r="F135" i="53" s="1"/>
  <c r="H135" i="53" l="1"/>
  <c r="H103" i="53" s="1"/>
  <c r="H56" i="53" s="1"/>
  <c r="F103" i="53"/>
  <c r="F88" i="48"/>
  <c r="K303" i="37"/>
  <c r="I135" i="53" l="1"/>
  <c r="H88" i="48"/>
  <c r="F198" i="53"/>
  <c r="F163" i="53"/>
  <c r="I103" i="53"/>
  <c r="I56" i="53"/>
  <c r="H163" i="53"/>
  <c r="H193" i="53" s="1"/>
  <c r="F193" i="53" l="1"/>
  <c r="I193" i="53" s="1"/>
  <c r="I163" i="53"/>
  <c r="F199" i="53"/>
  <c r="I199" i="53" s="1"/>
  <c r="I198" i="53"/>
  <c r="I88" i="48"/>
  <c r="M111" i="37" l="1"/>
  <c r="D111" i="37" s="1"/>
  <c r="I111" i="37"/>
  <c r="F111" i="37" l="1"/>
  <c r="L111" i="37"/>
  <c r="J111" i="37"/>
  <c r="F113" i="47"/>
  <c r="I303" i="37"/>
  <c r="M303" i="37"/>
  <c r="H111" i="37"/>
  <c r="M305" i="37" l="1"/>
  <c r="F78" i="48"/>
  <c r="F103" i="47"/>
  <c r="J95" i="47" s="1"/>
  <c r="H113" i="47"/>
  <c r="H103" i="47" s="1"/>
  <c r="H56" i="47" s="1"/>
  <c r="I113" i="47" l="1"/>
  <c r="F68" i="48"/>
  <c r="H78" i="48"/>
  <c r="H68" i="48" s="1"/>
  <c r="H116" i="48" s="1"/>
  <c r="H146" i="48" s="1"/>
  <c r="I56" i="47"/>
  <c r="H163" i="47"/>
  <c r="H193" i="47" s="1"/>
  <c r="F198" i="47"/>
  <c r="F163" i="47"/>
  <c r="I103" i="47"/>
  <c r="I163" i="47" l="1"/>
  <c r="F193" i="47"/>
  <c r="I193" i="47" s="1"/>
  <c r="I78" i="48"/>
  <c r="F199" i="47"/>
  <c r="I199" i="47" s="1"/>
  <c r="I198" i="47"/>
  <c r="K10" i="44"/>
  <c r="I68" i="48"/>
  <c r="F151" i="48"/>
  <c r="F116" i="48"/>
  <c r="I116" i="48" l="1"/>
  <c r="F146" i="48"/>
  <c r="I146" i="48" s="1"/>
  <c r="K19" i="44"/>
  <c r="M10" i="44"/>
  <c r="F152" i="48"/>
  <c r="J151" i="48"/>
  <c r="H151" i="48"/>
  <c r="I151" i="48" s="1"/>
  <c r="H152" i="48" l="1"/>
  <c r="I152" i="4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rubensm</author>
    <author>Algalia</author>
    <author>David Rodríguez  - ALGALIA</author>
    <author>Marta</author>
  </authors>
  <commentList>
    <comment ref="A5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Introducir en cada trabajador datos relevantes de la relación laboral: tipo contrato, categoría, fecha contrato...</t>
        </r>
      </text>
    </comment>
    <comment ref="K5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Se calcula multiplicando la antigüedad por mes por el número de meses. Se indexa a IPC</t>
        </r>
      </text>
    </comment>
    <comment ref="P5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Hay dos formas de calcularla:
a) Cuantía del mes de referencia por doce.
b) Determinar el tipo de cotización y aplicarlo al total de salarios (forma más exacta).</t>
        </r>
      </text>
    </comment>
    <comment ref="Q5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>Incluir en cada trabajador el tipo de bonificación y duración</t>
        </r>
      </text>
    </comment>
    <comment ref="A42" authorId="1" shapeId="0" xr:uid="{00000000-0006-0000-0700-000038000000}">
      <text>
        <r>
          <rPr>
            <b/>
            <sz val="8"/>
            <color indexed="81"/>
            <rFont val="Tahoma"/>
            <family val="2"/>
          </rPr>
          <t>400 días de baja que suponen 2800 horas. Entendemos cubiertas por trabajadores exisitentes a TP el 75% de las horas polo lo que sólo habria que cubrir 700 horas 
2016: Dato real 360 días a cubrir
2018: Dato real baja: 1479 días.
2019: Cubrimos las 700 horas.</t>
        </r>
      </text>
    </comment>
    <comment ref="A43" authorId="1" shapeId="0" xr:uid="{00000000-0006-0000-0700-000039000000}">
      <text>
        <r>
          <rPr>
            <b/>
            <sz val="8"/>
            <color indexed="81"/>
            <rFont val="Tahoma"/>
            <family val="2"/>
          </rPr>
          <t>14 Festivos.
14 Personas
3,5 euros/hora</t>
        </r>
      </text>
    </comment>
    <comment ref="K48" authorId="0" shapeId="0" xr:uid="{00000000-0006-0000-0700-00003A000000}">
      <text>
        <r>
          <rPr>
            <b/>
            <sz val="8"/>
            <color indexed="81"/>
            <rFont val="Tahoma"/>
            <family val="2"/>
          </rPr>
          <t>Se calcula multiplicando la antigüedad por mes por el número de meses. Se indexa a IPC</t>
        </r>
      </text>
    </comment>
    <comment ref="K71" authorId="0" shapeId="0" xr:uid="{00000000-0006-0000-0700-000051000000}">
      <text>
        <r>
          <rPr>
            <b/>
            <sz val="8"/>
            <color indexed="81"/>
            <rFont val="Tahoma"/>
            <family val="2"/>
          </rPr>
          <t>Se calcula multiplicando la antigüedad por mes por el número de meses. Se indexa a IPC</t>
        </r>
      </text>
    </comment>
    <comment ref="J78" authorId="2" shapeId="0" xr:uid="{00000000-0006-0000-0700-00005D000000}">
      <text>
        <r>
          <rPr>
            <sz val="8"/>
            <color indexed="81"/>
            <rFont val="Tahoma"/>
            <family val="2"/>
          </rPr>
          <t>Multiplicado por 2 ya que el plus de tablas lo cobra entero aunque tiene jornada 50%</t>
        </r>
      </text>
    </comment>
    <comment ref="J79" authorId="2" shapeId="0" xr:uid="{00000000-0006-0000-0700-000060000000}">
      <text>
        <r>
          <rPr>
            <sz val="8"/>
            <color indexed="81"/>
            <rFont val="Tahoma"/>
            <family val="2"/>
          </rPr>
          <t>Multiplicado por 2 ya que el plus de tablas lo cobra entero aunque tiene jornada 50%</t>
        </r>
      </text>
    </comment>
    <comment ref="A87" authorId="3" shapeId="0" xr:uid="{00000000-0006-0000-0700-000067000000}">
      <text>
        <r>
          <rPr>
            <b/>
            <sz val="8"/>
            <color indexed="81"/>
            <rFont val="Tahoma"/>
            <family val="2"/>
          </rPr>
          <t>Incorporadas en Salarios de Inma, Nicole y Alba</t>
        </r>
      </text>
    </comment>
    <comment ref="K92" authorId="0" shapeId="0" xr:uid="{00000000-0006-0000-0700-000068000000}">
      <text>
        <r>
          <rPr>
            <b/>
            <sz val="8"/>
            <color indexed="81"/>
            <rFont val="Tahoma"/>
            <family val="2"/>
          </rPr>
          <t>Se calcula multiplicando la antigüedad por mes por el número de meses. Se indexa a IPC</t>
        </r>
      </text>
    </comment>
    <comment ref="K104" authorId="0" shapeId="0" xr:uid="{00000000-0006-0000-0700-00006D000000}">
      <text>
        <r>
          <rPr>
            <b/>
            <sz val="8"/>
            <color indexed="81"/>
            <rFont val="Tahoma"/>
            <family val="2"/>
          </rPr>
          <t>Se calcula multiplicando la antigüedad por mes por el número de meses. Se indexa a IPC</t>
        </r>
      </text>
    </comment>
    <comment ref="J115" authorId="2" shapeId="0" xr:uid="{00000000-0006-0000-0700-00007A000000}">
      <text>
        <r>
          <rPr>
            <sz val="8"/>
            <color indexed="81"/>
            <rFont val="Tahoma"/>
            <family val="2"/>
          </rPr>
          <t>Multiplicado por 2 ya que el plus de tablas lo cobra entero aunque tiene jornada 50%</t>
        </r>
      </text>
    </comment>
    <comment ref="K123" authorId="0" shapeId="0" xr:uid="{00000000-0006-0000-0700-00007F000000}">
      <text>
        <r>
          <rPr>
            <b/>
            <sz val="8"/>
            <color indexed="81"/>
            <rFont val="Tahoma"/>
            <family val="2"/>
          </rPr>
          <t>Se calcula multiplicando la antigüedad por mes por el número de meses. Se indexa a IPC</t>
        </r>
      </text>
    </comment>
    <comment ref="K136" authorId="0" shapeId="0" xr:uid="{00000000-0006-0000-0700-000086000000}">
      <text>
        <r>
          <rPr>
            <b/>
            <sz val="8"/>
            <color indexed="81"/>
            <rFont val="Tahoma"/>
            <family val="2"/>
          </rPr>
          <t>Se calcula multiplicando la antigüedad por mes por el número de meses. Se indexa a IPC</t>
        </r>
      </text>
    </comment>
    <comment ref="K157" authorId="0" shapeId="0" xr:uid="{00000000-0006-0000-0700-00009A000000}">
      <text>
        <r>
          <rPr>
            <b/>
            <sz val="8"/>
            <color indexed="81"/>
            <rFont val="Tahoma"/>
            <family val="2"/>
          </rPr>
          <t>Se calcula multiplicando la antigüedad por mes por el número de meses. Se indexa a IPC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Rodríguez  - ALGALIA</author>
  </authors>
  <commentList>
    <comment ref="U207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David Rodríguez  - ALGALIA:</t>
        </r>
        <r>
          <rPr>
            <sz val="8"/>
            <color indexed="81"/>
            <rFont val="Tahoma"/>
            <family val="2"/>
          </rPr>
          <t xml:space="preserve">
13100022 68,34% + 13000039 50,00%
</t>
        </r>
      </text>
    </comment>
    <comment ref="U210" authorId="0" shapeId="0" xr:uid="{00000000-0006-0000-0800-000002000000}">
      <text>
        <r>
          <rPr>
            <b/>
            <sz val="8"/>
            <color indexed="81"/>
            <rFont val="Tahoma"/>
            <family val="2"/>
          </rPr>
          <t>David Rodríguez  - ALGALIA:</t>
        </r>
        <r>
          <rPr>
            <sz val="8"/>
            <color indexed="81"/>
            <rFont val="Tahoma"/>
            <family val="2"/>
          </rPr>
          <t xml:space="preserve">
13100022 68,34% + 13000039 50,00%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Calidad - Paula de la Cruz</author>
  </authors>
  <commentList>
    <comment ref="E32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Calidad - Paula de la Cruz:</t>
        </r>
        <r>
          <rPr>
            <sz val="9"/>
            <color indexed="81"/>
            <rFont val="Tahoma"/>
            <family val="2"/>
          </rPr>
          <t xml:space="preserve">
IMPORTE DE LA CUENTA 72000001 RESTANDO LOS 169 SOCIOS A 67,70€ DE IMPORTE ANUAL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Marta</author>
  </authors>
  <commentList>
    <comment ref="C5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Grado Minusvalía</t>
        </r>
      </text>
    </comment>
    <comment ref="C26" authorId="0" shapeId="0" xr:uid="{28E067EB-90E9-4300-8AE4-B622D7EDA0C6}">
      <text>
        <r>
          <rPr>
            <b/>
            <sz val="8"/>
            <color indexed="81"/>
            <rFont val="Tahoma"/>
            <family val="2"/>
          </rPr>
          <t>Grado Minusvalía</t>
        </r>
      </text>
    </comment>
    <comment ref="C50" authorId="0" shapeId="0" xr:uid="{158D39A2-84E9-44D6-975B-1201D52A33CC}">
      <text>
        <r>
          <rPr>
            <b/>
            <sz val="8"/>
            <color indexed="81"/>
            <rFont val="Tahoma"/>
            <family val="2"/>
          </rPr>
          <t>Grado Minusvalía</t>
        </r>
      </text>
    </comment>
    <comment ref="C80" authorId="0" shapeId="0" xr:uid="{0058E6C7-B8DF-4C22-8ACD-F092D75446FA}">
      <text>
        <r>
          <rPr>
            <b/>
            <sz val="8"/>
            <color indexed="81"/>
            <rFont val="Tahoma"/>
            <family val="2"/>
          </rPr>
          <t>Grado Minusvalía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rubensm</author>
    <author>David Rodríguez  - ALGALIA</author>
  </authors>
  <commentList>
    <comment ref="A3" authorId="0" shapeId="0" xr:uid="{00000000-0006-0000-0C00-000002000000}">
      <text>
        <r>
          <rPr>
            <b/>
            <sz val="8"/>
            <color indexed="81"/>
            <rFont val="Tahoma"/>
            <family val="2"/>
          </rPr>
          <t>Compra de bienes proncipales destinados directamente a la actividad.</t>
        </r>
      </text>
    </comment>
    <comment ref="A16" authorId="0" shapeId="0" xr:uid="{00000000-0006-0000-0C00-000004000000}">
      <text>
        <r>
          <rPr>
            <b/>
            <sz val="8"/>
            <color indexed="81"/>
            <rFont val="Tahoma"/>
            <family val="2"/>
          </rPr>
          <t>Compras de productos destinados a las actividades económicas</t>
        </r>
      </text>
    </comment>
    <comment ref="A28" authorId="0" shapeId="0" xr:uid="{00000000-0006-0000-0C00-000005000000}">
      <text>
        <r>
          <rPr>
            <b/>
            <sz val="8"/>
            <color indexed="81"/>
            <rFont val="Tahoma"/>
            <family val="2"/>
          </rPr>
          <t>Compra de materiales auxiliares destinados a la actividad</t>
        </r>
      </text>
    </comment>
    <comment ref="A41" authorId="0" shapeId="0" xr:uid="{00000000-0006-0000-0C00-000006000000}">
      <text>
        <r>
          <rPr>
            <b/>
            <sz val="8"/>
            <color indexed="81"/>
            <rFont val="Tahoma"/>
            <family val="2"/>
          </rPr>
          <t>Servicios directos a las actividades subcontratados por la entidad</t>
        </r>
      </text>
    </comment>
    <comment ref="A77" authorId="0" shapeId="0" xr:uid="{00000000-0006-0000-0C00-000009000000}">
      <text>
        <r>
          <rPr>
            <b/>
            <sz val="8"/>
            <color indexed="81"/>
            <rFont val="Tahoma"/>
            <family val="2"/>
          </rPr>
          <t>Servicios de profesionales con retención</t>
        </r>
      </text>
    </comment>
    <comment ref="I156" authorId="1" shapeId="0" xr:uid="{00000000-0006-0000-0C00-00000B000000}">
      <text>
        <r>
          <rPr>
            <b/>
            <sz val="8"/>
            <color indexed="81"/>
            <rFont val="Tahoma"/>
            <family val="2"/>
          </rPr>
          <t>En presupuesto 2018 había 90  a mayores, mantengo para cubrir pequeños gastos contab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Rodríguez  - ALGALIA</author>
  </authors>
  <commentList>
    <comment ref="G1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 xml:space="preserve">Estimamos un 10% el efecto de la subida de convenio
</t>
        </r>
      </text>
    </comment>
  </commentList>
</comments>
</file>

<file path=xl/sharedStrings.xml><?xml version="1.0" encoding="utf-8"?>
<sst xmlns="http://schemas.openxmlformats.org/spreadsheetml/2006/main" count="1988" uniqueCount="660">
  <si>
    <t>PRESUPUESTO</t>
  </si>
  <si>
    <t>REALIZADO</t>
  </si>
  <si>
    <t>DESVIACIÓN</t>
  </si>
  <si>
    <t>% DESV.</t>
  </si>
  <si>
    <t>1. Ingresos de la actividad propia</t>
  </si>
  <si>
    <t>Cuotas de Afiliados (720)</t>
  </si>
  <si>
    <t>Cantidades pagadas por los socios de la entidad</t>
  </si>
  <si>
    <t>Cuotas de usuarios (721)</t>
  </si>
  <si>
    <t>Cuotas a pagar por los usuarios de las actividades</t>
  </si>
  <si>
    <t>Ingresos patrocinadores y colaboradores (723)</t>
  </si>
  <si>
    <t>Convenios de colaboración y patrocinios</t>
  </si>
  <si>
    <t>Ingresos por subvenciones y donaciones (740)</t>
  </si>
  <si>
    <t>Convenios y subvenciones para actividades</t>
  </si>
  <si>
    <t>Reintegro de ayudas y asignaciones (728)</t>
  </si>
  <si>
    <t>Reintegro de ayudas concedidas</t>
  </si>
  <si>
    <t>2. Ventas y otros ingresos de la actividad mercantil</t>
  </si>
  <si>
    <t>Ventas de bienes (700)</t>
  </si>
  <si>
    <t xml:space="preserve">Venta de productos </t>
  </si>
  <si>
    <t>Prestación de servicios (705)</t>
  </si>
  <si>
    <t>Prestación de servicios por la asociación</t>
  </si>
  <si>
    <t>3. Gastos por ayudas y otros</t>
  </si>
  <si>
    <t>Ayudas monetarias (650)</t>
  </si>
  <si>
    <t>Ayudas en metálico</t>
  </si>
  <si>
    <t>Ayudas no monetarias (651)</t>
  </si>
  <si>
    <t>Ayudas en especie</t>
  </si>
  <si>
    <t>Gastos por colaboraciones (653)</t>
  </si>
  <si>
    <t>Compensaciones gastos por colaboración</t>
  </si>
  <si>
    <t>Gastos órganos de gobierno (654)</t>
  </si>
  <si>
    <t>Compensaciones gastos organos de gobierno</t>
  </si>
  <si>
    <t xml:space="preserve">4. Var. de exist. de prod. y en curso de fab. </t>
  </si>
  <si>
    <t>Variación de existencias (71)</t>
  </si>
  <si>
    <t>Variación de existencias de productos</t>
  </si>
  <si>
    <t>5. Trabajos realizados por la entidad para el activo</t>
  </si>
  <si>
    <t>Trabajos realizados para la entidad (73)</t>
  </si>
  <si>
    <t>Activación de gastos por inmobilización</t>
  </si>
  <si>
    <t>6. Aprovisionamientos</t>
  </si>
  <si>
    <t>Compra de bienes destinados a la actividad (600)</t>
  </si>
  <si>
    <t>Productos principales de la actividad</t>
  </si>
  <si>
    <t>Compra de materias primas (601)</t>
  </si>
  <si>
    <t>Bienes de las actividades económicas</t>
  </si>
  <si>
    <t>Compra de otros aprovisionamientos (602)</t>
  </si>
  <si>
    <t>Productos auxiliares de las actividades</t>
  </si>
  <si>
    <t>Trabajos realizados por otras empresas (607)</t>
  </si>
  <si>
    <t>Servicios externos para actividades</t>
  </si>
  <si>
    <t>7. Otros ingresos de la actividad</t>
  </si>
  <si>
    <t>Alquileres (752)</t>
  </si>
  <si>
    <t>Alquiler de Inmovilizado</t>
  </si>
  <si>
    <t>Ingresos por comisiones (754)</t>
  </si>
  <si>
    <t>Comisiones en servicios</t>
  </si>
  <si>
    <t>Ingresos por servicios al personal (754)</t>
  </si>
  <si>
    <t>Comedores, economatos, transporte….</t>
  </si>
  <si>
    <t>Ingresos por servicios diversos (759)</t>
  </si>
  <si>
    <t>Prestación de servicios eventules a entidades o personas</t>
  </si>
  <si>
    <t>Ingresos excepcionales (778)</t>
  </si>
  <si>
    <t>Ingresos no previstos</t>
  </si>
  <si>
    <t>8. Gastos de persoal</t>
  </si>
  <si>
    <t>Sueldos y Salarios (640)</t>
  </si>
  <si>
    <t>Salarios Personal Entidad</t>
  </si>
  <si>
    <t>Seguridad Social (642)</t>
  </si>
  <si>
    <t>S.Social Personal Entidad</t>
  </si>
  <si>
    <t>Otros gastos sociales (649)</t>
  </si>
  <si>
    <t>Gastos sociales personal entidad</t>
  </si>
  <si>
    <t>9. Otros gastos de la actividad</t>
  </si>
  <si>
    <t>Alquileres (621)</t>
  </si>
  <si>
    <t>Gastos alquiler de instalaciones</t>
  </si>
  <si>
    <t>Reparaciones y conservación (622)</t>
  </si>
  <si>
    <t>Gastos mantenimiento de inversiones</t>
  </si>
  <si>
    <t>Servicios de profesionales independentes (623)</t>
  </si>
  <si>
    <t>Profesionales diversos</t>
  </si>
  <si>
    <t>Transportes (624)</t>
  </si>
  <si>
    <t>Gasto de transporte no incluidos en exist. O inmob.</t>
  </si>
  <si>
    <t>Seguros (625)</t>
  </si>
  <si>
    <t>Seguros para las inversiones y  las actividades.</t>
  </si>
  <si>
    <t>Servicios bancarios y similares (626)</t>
  </si>
  <si>
    <t>Gastos gestión de recibos, comisiones...</t>
  </si>
  <si>
    <t>Publicidad, propaganda y relaciones públicas (627)</t>
  </si>
  <si>
    <t>Gastos de publicidad y representación</t>
  </si>
  <si>
    <t>Suministros (628)</t>
  </si>
  <si>
    <t>Luz, Aguaa, Cariburantes….</t>
  </si>
  <si>
    <t>Otros servicios (629)</t>
  </si>
  <si>
    <t>Asesoría, auditoría, correos, teléfono………………………………………</t>
  </si>
  <si>
    <t>Otros tributos (631)</t>
  </si>
  <si>
    <t>Tributos locales y tasas</t>
  </si>
  <si>
    <t>Pérdidas de créditos incobrables derivados de la actividade(655)</t>
  </si>
  <si>
    <t>Cuotas actividad incobradas</t>
  </si>
  <si>
    <t>Gastos excepcionales (678)</t>
  </si>
  <si>
    <t>Gastos no previstos</t>
  </si>
  <si>
    <t>10. Amortización del Inmovilizado</t>
  </si>
  <si>
    <t>Amortización del Inmovilizado Intangible (680)</t>
  </si>
  <si>
    <t>Gasto de las inversiones del ejercicio</t>
  </si>
  <si>
    <t>Amortización del Inmovilizado Material (681)</t>
  </si>
  <si>
    <t xml:space="preserve">11. Subv. Don. y legados de cap. trasp. o exerc. </t>
  </si>
  <si>
    <t>Subvenciones de capital traspasadas al ejercicio (745)</t>
  </si>
  <si>
    <t>Imputación subv. de las inversiones</t>
  </si>
  <si>
    <t>Donaciones y legados de capital traspasadas al ejercicio (746)</t>
  </si>
  <si>
    <t>12. Excesos de provisiones</t>
  </si>
  <si>
    <t>Excesos de provisiones (795)</t>
  </si>
  <si>
    <t>Cantidades revertidas por provisiones en el ejercicio</t>
  </si>
  <si>
    <t xml:space="preserve">13. Deterioro y rdo. por enajenacións del Inmovilizado </t>
  </si>
  <si>
    <t>Pérdidas/Beneficios procedentes del I. Intangible (670/770)</t>
  </si>
  <si>
    <t>Resultados de la baja del I. Intangible</t>
  </si>
  <si>
    <t>Pérdidas/Beneficios procedentes del I. Intanxible (671/771)</t>
  </si>
  <si>
    <t>Resultados de la baja del  I. Material</t>
  </si>
  <si>
    <t>A) EXCEDENTE DE LA  ACTIVIDAD</t>
  </si>
  <si>
    <t>14. Ingresos financieros</t>
  </si>
  <si>
    <t>Ingresos de part. en instrumentos de patrimonio (760)</t>
  </si>
  <si>
    <t>Bºs Fondos de Inversión….</t>
  </si>
  <si>
    <t>Ingresos de valores representativos de deuda (761)</t>
  </si>
  <si>
    <t>Ingresos deuda pública…</t>
  </si>
  <si>
    <t>Ingresos de créditos (762)</t>
  </si>
  <si>
    <t>Intereses de créditos concedidos</t>
  </si>
  <si>
    <t>Otros ingresos financieros (769)</t>
  </si>
  <si>
    <t>Otros ingresos de carácter financiero</t>
  </si>
  <si>
    <t>15. Gastos financieros</t>
  </si>
  <si>
    <t>Intereses de deudas (662)</t>
  </si>
  <si>
    <t>Intereses de créditos recibidos</t>
  </si>
  <si>
    <t>Pérdidas en valores de deuda(666)</t>
  </si>
  <si>
    <t>Pérdidas por baija de valores de deuda</t>
  </si>
  <si>
    <t>Pérdidas de créditos (667)</t>
  </si>
  <si>
    <t>Pérdidas por insolvencias de créditos</t>
  </si>
  <si>
    <t>Otros gastos financieros (669)</t>
  </si>
  <si>
    <t>Otros gastos de carácter financiero</t>
  </si>
  <si>
    <t>16. Diferencias de cambio</t>
  </si>
  <si>
    <t>Diferencias negativas de cambio (668)</t>
  </si>
  <si>
    <t>Pérdidas por cambio de moneda</t>
  </si>
  <si>
    <t>Diferencias positivas de cambio (768)</t>
  </si>
  <si>
    <t>Ganancias por cambio de moneda</t>
  </si>
  <si>
    <t>B) EXCEDENTE DE LAS OPERACIONES FINANCIERAS</t>
  </si>
  <si>
    <t>C) RESULTADO DEL EJERCICIO</t>
  </si>
  <si>
    <t>RESUMEN:</t>
  </si>
  <si>
    <t>%DESV.</t>
  </si>
  <si>
    <t>INGRESOS</t>
  </si>
  <si>
    <t>GASTOS</t>
  </si>
  <si>
    <t xml:space="preserve">RESULTADO </t>
  </si>
  <si>
    <t>DIFERENCIA</t>
  </si>
  <si>
    <t>Aportaciones de usuarios……………………..</t>
  </si>
  <si>
    <t>Convenio Administración…………………….</t>
  </si>
  <si>
    <t>Ingresos por subvenciones  y donaciones (740)</t>
  </si>
  <si>
    <t>2. Ventas  y otros ingresos de la actividad mercantil</t>
  </si>
  <si>
    <t>5. Trabajos realizados pola entidade para o sei activo</t>
  </si>
  <si>
    <t>Traballos realizados para la entidad (73)</t>
  </si>
  <si>
    <t>Compra de otros aprovisionamentos (602)</t>
  </si>
  <si>
    <t>Alquileres(752)</t>
  </si>
  <si>
    <t>Comisione en Servicios</t>
  </si>
  <si>
    <t>Ingresos por Servicios al persoal (754)</t>
  </si>
  <si>
    <t>Ingresos por Servicios diversos (759)</t>
  </si>
  <si>
    <t>Prestación de Servicios eventuales a entidades o personas</t>
  </si>
  <si>
    <t>8. Gastos de personal</t>
  </si>
  <si>
    <t>Salarios Personal Actividad 1</t>
  </si>
  <si>
    <t>S.Social Persoal Actividad 2</t>
  </si>
  <si>
    <t>Gastos sociales persoal entidad</t>
  </si>
  <si>
    <t>Servicios de profesionales independientes (623)</t>
  </si>
  <si>
    <t>Gasto de transporte no incluídos en exist. o inmob.</t>
  </si>
  <si>
    <t>Seguros para las inversiones  y las actividades.</t>
  </si>
  <si>
    <t>Otros Servicios (629)</t>
  </si>
  <si>
    <t>Pérdidas de créditos incobrables derivados dr la actividad (655)</t>
  </si>
  <si>
    <t>Cuotas actividad no cobradas</t>
  </si>
  <si>
    <t>Gasto de  las inversiones del ejercicio</t>
  </si>
  <si>
    <t xml:space="preserve">11. Subv. Don. y legados de cap. trasp. Al ejerc. </t>
  </si>
  <si>
    <t>Imputación subv. De las inversiones</t>
  </si>
  <si>
    <t xml:space="preserve">13. Deterioro e rdo. por enajenacións del Inmovilizado </t>
  </si>
  <si>
    <t>Pérdidas/Beneficios procedentes del I. Intangible (671/771)</t>
  </si>
  <si>
    <t>Resultados de la baja del I. Material</t>
  </si>
  <si>
    <t>A) EXCEDENTE DE LA ACTIVIDAD</t>
  </si>
  <si>
    <t>Pérdidas por baja de valores de deuda</t>
  </si>
  <si>
    <t>Diferenciass negativas de cambio (668)</t>
  </si>
  <si>
    <t>B) EXCEDENTE DE LAS OPERACIÓNS FINANCIERAS</t>
  </si>
  <si>
    <t>Cantidades pagadas por los  socios de la entidad</t>
  </si>
  <si>
    <t>Aportacións de usuarios……………………..</t>
  </si>
  <si>
    <t>Reintegro de ayudas e asignacións (728)</t>
  </si>
  <si>
    <t>ayudas monetarias (650)</t>
  </si>
  <si>
    <t>ayudas en metálico</t>
  </si>
  <si>
    <t>ayudas no monetarias (651)</t>
  </si>
  <si>
    <t>ayudas en especie</t>
  </si>
  <si>
    <t>5. Trabajos realizados por la entidad para su activo</t>
  </si>
  <si>
    <t>comisiones en servicios</t>
  </si>
  <si>
    <t>Ingresos por servicios al persoal (754)</t>
  </si>
  <si>
    <t>Prestación de servicios eventuales a entidades o personas</t>
  </si>
  <si>
    <t>Salarios Personal actividad 1</t>
  </si>
  <si>
    <t>S.Social Persoal actividad 2</t>
  </si>
  <si>
    <t>otros gastos sociales (649)</t>
  </si>
  <si>
    <t>9. otros gastos de la actividad</t>
  </si>
  <si>
    <t>Gastos Alquiler de instalaciones</t>
  </si>
  <si>
    <t>Gasto de transporte no incluidos en exist. o inmob.</t>
  </si>
  <si>
    <t>Seguros para las inversiones y las actividades.</t>
  </si>
  <si>
    <t>Pérdidas de créditos incobrables derivados de la actividad (655)</t>
  </si>
  <si>
    <t>Gastos excepcionles (678)</t>
  </si>
  <si>
    <t xml:space="preserve">11. Subv. Don. y legados de cap. trasp. oal exerc. </t>
  </si>
  <si>
    <t>Subvenciones de capital traspasadas al exercizo (745)</t>
  </si>
  <si>
    <t>Donaciones y legados de capital traspasadas al  exercizo (746)</t>
  </si>
  <si>
    <t xml:space="preserve">13. Deterioro e rdo. por enajenaciondes del Inmovilizado </t>
  </si>
  <si>
    <t>Pérdidas/Beneficios procedentes del I. Intanxible (670/770)</t>
  </si>
  <si>
    <t>Resultados da baja del I. Intanxible</t>
  </si>
  <si>
    <t>Intereses de deudas(662)</t>
  </si>
  <si>
    <t>Pérdidas en valores de deuda (666)</t>
  </si>
  <si>
    <t>Reintegro de ayudas e asignaciones (728)</t>
  </si>
  <si>
    <t>2. Ventas y  otros ingresos da actividad mercantil</t>
  </si>
  <si>
    <t>Prestación de Servicios (705)</t>
  </si>
  <si>
    <t>7. otros ingresos de la actividad</t>
  </si>
  <si>
    <t>Eomisiones en Servicios</t>
  </si>
  <si>
    <t>Ingresos por Servicios ó persoal (754)</t>
  </si>
  <si>
    <t>Prestación de Servicios eventuais a entidades o personas</t>
  </si>
  <si>
    <t>Seguros para las inversiones y las actividads.</t>
  </si>
  <si>
    <t>Publicidad, propaganda  relaciónes públicas (627)</t>
  </si>
  <si>
    <t>Gastos de publicidad  y representación</t>
  </si>
  <si>
    <t>Tributos locales e taxas</t>
  </si>
  <si>
    <t>Pérdidas de créditos incobrables derivados dae la actividad (655)</t>
  </si>
  <si>
    <t xml:space="preserve">11. Subv. Don. Y legados de cap. trasp. Al  exerc. </t>
  </si>
  <si>
    <t>Subvenciones de capital traspasadas al exercicio (745)</t>
  </si>
  <si>
    <t>donaciones y legados de capital traspasadas al ejercicio(746)</t>
  </si>
  <si>
    <t>Cantidades revertidas por previsiones en el ejercicio</t>
  </si>
  <si>
    <t xml:space="preserve">13. Deterioro e rdo. Por enajenaciones  del Inmovilizado </t>
  </si>
  <si>
    <t>Resultados de la baja del  I. Intangible</t>
  </si>
  <si>
    <t>otros ingresos de carácter financiero</t>
  </si>
  <si>
    <t>Intereses de déudas (662)</t>
  </si>
  <si>
    <t>B) EXCEDENTE DE LAS  OPERACIONES FINANCIERAS</t>
  </si>
  <si>
    <t>Cantidades pagadas por los socios da entidad</t>
  </si>
  <si>
    <t>2. Ventas y otros ingresos de la  actividad mercantil</t>
  </si>
  <si>
    <t>6. aprovisionamientos</t>
  </si>
  <si>
    <t>S.Social Personal actividad 2</t>
  </si>
  <si>
    <t>Seguros para las inversiones y las actividades</t>
  </si>
  <si>
    <t>Publicidad, propaganda y relacións públicas (627)</t>
  </si>
  <si>
    <t xml:space="preserve">11. Subv. Don. y legados de cap. trasp. al exerc. </t>
  </si>
  <si>
    <t>Subvenciones de capital traspasadas al ejercicio(745)</t>
  </si>
  <si>
    <t>Donaciones y  legados de capital traspasadas al ejercicio (746)</t>
  </si>
  <si>
    <t xml:space="preserve">13. Deterioro e rdo. por enajenaciones del  Inmovilizado </t>
  </si>
  <si>
    <t>Resultados de la baja del I. Intanxible</t>
  </si>
  <si>
    <t>Intereses de dédudas (662)</t>
  </si>
  <si>
    <t>Otros gastos financerios (669)</t>
  </si>
  <si>
    <t>16. DIFERENCIAS DE CAMBIO</t>
  </si>
  <si>
    <t>Ganancias por cambio de mnoeda</t>
  </si>
  <si>
    <t>Producto 2………………………………..</t>
  </si>
  <si>
    <t>Producto 3…………………………………….</t>
  </si>
  <si>
    <t>Producto 4………………………………..</t>
  </si>
  <si>
    <t>C</t>
  </si>
  <si>
    <t xml:space="preserve"> </t>
  </si>
  <si>
    <t>Salarios Personal Asociación</t>
  </si>
  <si>
    <t>S.Social Personal Asociación</t>
  </si>
  <si>
    <t>GASTO DE PERSONAL ASOCIACIÓN…….</t>
  </si>
  <si>
    <t>Centro de 1</t>
  </si>
  <si>
    <t>Personal Att. Directa + Técnicos</t>
  </si>
  <si>
    <t>Empleado</t>
  </si>
  <si>
    <t>Categoría</t>
  </si>
  <si>
    <t>Contrato</t>
  </si>
  <si>
    <t>Antigüedade
Laboral</t>
  </si>
  <si>
    <t>%
Imput.</t>
  </si>
  <si>
    <t>% Jornada</t>
  </si>
  <si>
    <t>Sueldos</t>
  </si>
  <si>
    <t>Plus</t>
  </si>
  <si>
    <t>Antigüedad
 hasta 2014</t>
  </si>
  <si>
    <t>CDP (3,7%) desde 01/01</t>
  </si>
  <si>
    <t>Pagas Extras</t>
  </si>
  <si>
    <t>T. Salarios</t>
  </si>
  <si>
    <t>C.O.</t>
  </si>
  <si>
    <t>S.Social</t>
  </si>
  <si>
    <t xml:space="preserve">Bonificación </t>
  </si>
  <si>
    <t>Coste Total</t>
  </si>
  <si>
    <t>COSTE BAJAS IT</t>
  </si>
  <si>
    <t>FESTIVOS</t>
  </si>
  <si>
    <t>NOCTURNIDAD</t>
  </si>
  <si>
    <t>Totales</t>
  </si>
  <si>
    <t>Personal Serv.+ Admon</t>
  </si>
  <si>
    <t>g</t>
  </si>
  <si>
    <t>a</t>
  </si>
  <si>
    <t>FESTIVOS (X dias)</t>
  </si>
  <si>
    <t>CENTRO 4</t>
  </si>
  <si>
    <t>NOCTURNIDAD (X HORAS)</t>
  </si>
  <si>
    <t>Cuidador</t>
  </si>
  <si>
    <t>CENTRO 2</t>
  </si>
  <si>
    <t>CENTRO 3</t>
  </si>
  <si>
    <t>Total General ENTIDAD.........................</t>
  </si>
  <si>
    <t>Inmovilizado INMATERIAL</t>
  </si>
  <si>
    <t>SUBVENCIÓN ASOCIADA</t>
  </si>
  <si>
    <t>Nº INV.</t>
  </si>
  <si>
    <t>F. COMPRA</t>
  </si>
  <si>
    <t>DESCRIPCIÓN</t>
  </si>
  <si>
    <t>P. COMPRA</t>
  </si>
  <si>
    <t>%AMORT.</t>
  </si>
  <si>
    <t>PEND. AMORT. 20XX-1</t>
  </si>
  <si>
    <t>AMORT. EJ. 20XX</t>
  </si>
  <si>
    <t>Centro 1</t>
  </si>
  <si>
    <t>Centro 2</t>
  </si>
  <si>
    <t>Centro 3</t>
  </si>
  <si>
    <t>Centro 4</t>
  </si>
  <si>
    <t>Centro 5</t>
  </si>
  <si>
    <t>%IMPUT.</t>
  </si>
  <si>
    <t>SUB. TRASPASADA</t>
  </si>
  <si>
    <t>Total Amortización Ej. 2.0XX</t>
  </si>
  <si>
    <t>Imp. Ej. 2.0XX</t>
  </si>
  <si>
    <t>Porcentajes…..</t>
  </si>
  <si>
    <t>Porcentajes……..</t>
  </si>
  <si>
    <t>Inmovilizado MATERIAL</t>
  </si>
  <si>
    <t>700.- INGRESOS POR VENTA DE BIENES</t>
  </si>
  <si>
    <t>CENTRO 1</t>
  </si>
  <si>
    <t>%</t>
  </si>
  <si>
    <t>CENTRO 5</t>
  </si>
  <si>
    <t>TOTAL</t>
  </si>
  <si>
    <t>I.P.C.Aut.:</t>
  </si>
  <si>
    <t>I.P.C.Nacional:</t>
  </si>
  <si>
    <t>Total Venta Bienes...</t>
  </si>
  <si>
    <t>705.- INGRESOS POR PRESTACIÓN DE SERVICIOS</t>
  </si>
  <si>
    <t>Total Venta Servicios...</t>
  </si>
  <si>
    <t>720.-INGRESOS POR CUOTAS DE AFILIADOS</t>
  </si>
  <si>
    <t>TIPO DE CUOTA</t>
  </si>
  <si>
    <t>Nº DE SOCIOS</t>
  </si>
  <si>
    <t>CUOTA SOCIO</t>
  </si>
  <si>
    <t>Nº DE PERÍODOS</t>
  </si>
  <si>
    <t>TOTAL AÑO</t>
  </si>
  <si>
    <t>Numerarios</t>
  </si>
  <si>
    <t>Colaboradores</t>
  </si>
  <si>
    <t>Total Afiliados......</t>
  </si>
  <si>
    <t>721.-INGRESOS POR CUOTAS DE USUARIOS</t>
  </si>
  <si>
    <t xml:space="preserve">ACTIVIDAD </t>
  </si>
  <si>
    <t>Nº USUARIOS</t>
  </si>
  <si>
    <t>CUOTA USUARIO</t>
  </si>
  <si>
    <t xml:space="preserve">CUOTA.CONVENIO </t>
  </si>
  <si>
    <t>TOTAL APORT. USUARIO</t>
  </si>
  <si>
    <t xml:space="preserve">TOTAL CONVENIO </t>
  </si>
  <si>
    <t>CENTRO 2 TRANSPORTE</t>
  </si>
  <si>
    <t>CENTRO 3 TRANSPORTE</t>
  </si>
  <si>
    <t>Total Cuotas Usuarios…..</t>
  </si>
  <si>
    <t>723.-INGRESOS DE PATROCINADORES Y COLABORADORES</t>
  </si>
  <si>
    <t>LARAÑO</t>
  </si>
  <si>
    <t>OCUPACIONAL</t>
  </si>
  <si>
    <t>UAP</t>
  </si>
  <si>
    <t>RESIDENCIA</t>
  </si>
  <si>
    <t>ASOCIACIÓN</t>
  </si>
  <si>
    <t>Colaborador/Patrocinador 1</t>
  </si>
  <si>
    <t>Colaborador/Patrocinador 2</t>
  </si>
  <si>
    <t>Colaborador/Patrocinador 3</t>
  </si>
  <si>
    <t>Colaborador/Patrocinador 4</t>
  </si>
  <si>
    <t>Total Pat./Colaboradores…..</t>
  </si>
  <si>
    <t>740. INGRESOS POR SUBVENCIONES Y DONACIONES</t>
  </si>
  <si>
    <t>SUBVENCIÓN</t>
  </si>
  <si>
    <t>Administración 6</t>
  </si>
  <si>
    <t>Total SUBVENCIONES</t>
  </si>
  <si>
    <t>DOAZON</t>
  </si>
  <si>
    <t>Donativos generales</t>
  </si>
  <si>
    <t>Fundación José Otero</t>
  </si>
  <si>
    <t>Fundación La Caixa</t>
  </si>
  <si>
    <t>Colegio de Abogados</t>
  </si>
  <si>
    <t>Fund amigo</t>
  </si>
  <si>
    <t>Total DONACIONES</t>
  </si>
  <si>
    <t>752.- INGRESOS POR ALQUILERES</t>
  </si>
  <si>
    <t>Alquileres</t>
  </si>
  <si>
    <t>Total Alquileres</t>
  </si>
  <si>
    <t>76.- INGRESOS FINANCIEROS</t>
  </si>
  <si>
    <t>760 INGRESOS PART. INST. PAT</t>
  </si>
  <si>
    <t>Instrumento 1</t>
  </si>
  <si>
    <t>Instrumento 2</t>
  </si>
  <si>
    <t>Instrumento 3</t>
  </si>
  <si>
    <t>Total 760……….</t>
  </si>
  <si>
    <t>761 INGRESOS VALORES DEUDA</t>
  </si>
  <si>
    <t>Valor 1</t>
  </si>
  <si>
    <t>Valor 2</t>
  </si>
  <si>
    <t>Valor 3</t>
  </si>
  <si>
    <t>Total 761……….</t>
  </si>
  <si>
    <t>762 INGRESOS DE CRÉDITOS</t>
  </si>
  <si>
    <t>Total 762……….</t>
  </si>
  <si>
    <t>769 OTROS INGRESOS FINANCIEROS</t>
  </si>
  <si>
    <t>Cta Cte 1</t>
  </si>
  <si>
    <t>Cta Cte 2</t>
  </si>
  <si>
    <t>Cta Cte 3</t>
  </si>
  <si>
    <t>Total 769……….</t>
  </si>
  <si>
    <t>721.-INGRESOS POR CUOTAS DE USUARIOS CENTRO 1</t>
  </si>
  <si>
    <t>NOMBRE USUARIO</t>
  </si>
  <si>
    <t>G.M.</t>
  </si>
  <si>
    <t>C.USUARIO MES</t>
  </si>
  <si>
    <t>CUOTA ADMON MES</t>
  </si>
  <si>
    <t>C. USUARIO AÑO</t>
  </si>
  <si>
    <t>C.ADMON AÑO</t>
  </si>
  <si>
    <t>IPC xx:</t>
  </si>
  <si>
    <t>721.-INGRESOS POR CUOTAS DE USUARIOS CENTRO 2</t>
  </si>
  <si>
    <t>721.-INGRESOS POR CUOTAS DE USUARIOS CENTRO 3</t>
  </si>
  <si>
    <t>721.-INGRESOS POR CUOTAS DE USUARIOS CENTRO 4</t>
  </si>
  <si>
    <t>I.P.C.Autonómico:</t>
  </si>
  <si>
    <t>600.- COMPRA DE BIENES DESTINADOS A LA ACTIVIDAD</t>
  </si>
  <si>
    <t xml:space="preserve">CENTRO 2 </t>
  </si>
  <si>
    <t>Material Actividades</t>
  </si>
  <si>
    <t>Viveres</t>
  </si>
  <si>
    <t>Ajuar, Lencería y Menaje</t>
  </si>
  <si>
    <t>Total Compra de BIENES...</t>
  </si>
  <si>
    <t>601.- COMPRA DE MATERIAS PRIMAS</t>
  </si>
  <si>
    <t>Materias primas talleres</t>
  </si>
  <si>
    <t>Producto 2</t>
  </si>
  <si>
    <t>Producto 3</t>
  </si>
  <si>
    <t>Producto 4</t>
  </si>
  <si>
    <t>Producto 5</t>
  </si>
  <si>
    <t>Total Compra de MATERIAS PRIMAS..</t>
  </si>
  <si>
    <t>602.- COMPRA DE OTROS APROVISIONAMIENTOS</t>
  </si>
  <si>
    <t>Material Limpeza y aseo</t>
  </si>
  <si>
    <t>Lavanderia-Compras</t>
  </si>
  <si>
    <t>Material Sanitario e Farmaceutico</t>
  </si>
  <si>
    <t>Compras Otros aprovisionamientos</t>
  </si>
  <si>
    <t>Total Compra de OTROS APROV…</t>
  </si>
  <si>
    <t>607.- TRABAJOS REALIZADOS POR OTRAS ENTIDADES</t>
  </si>
  <si>
    <t>Desratización e Higienización</t>
  </si>
  <si>
    <t>Gastos Actividades</t>
  </si>
  <si>
    <t>Ajuste social, ocio y tiempo libre</t>
  </si>
  <si>
    <t>Gasto Transporte</t>
  </si>
  <si>
    <t>Servicios de Lavandería (CEE)</t>
  </si>
  <si>
    <t>Total TRABAJOS REALIZADOS…..</t>
  </si>
  <si>
    <t>621.- ALQUILERES</t>
  </si>
  <si>
    <t>Otros arrendamientos</t>
  </si>
  <si>
    <t>Alquiler 2</t>
  </si>
  <si>
    <t>Alquiler 3</t>
  </si>
  <si>
    <t>Alquiler 4</t>
  </si>
  <si>
    <t>Alquiler 5</t>
  </si>
  <si>
    <t>Total ALQUILERES...</t>
  </si>
  <si>
    <t>622.- REPARACIONES</t>
  </si>
  <si>
    <t>Construcciones e Instalaciones</t>
  </si>
  <si>
    <t>Maquinaria</t>
  </si>
  <si>
    <t xml:space="preserve">Mobiliario </t>
  </si>
  <si>
    <t>Compenentes Equipos informaticos</t>
  </si>
  <si>
    <t>Elementos Transporte</t>
  </si>
  <si>
    <t>Total REPARACIONES…</t>
  </si>
  <si>
    <t>623.- Servicios PROFESIONALES</t>
  </si>
  <si>
    <t>Servicios Jurídicos</t>
  </si>
  <si>
    <t>Docentes</t>
  </si>
  <si>
    <t>Total Profesionales...</t>
  </si>
  <si>
    <t>624.- TRANSPORTE</t>
  </si>
  <si>
    <t>Transporte 1</t>
  </si>
  <si>
    <t>Transporte 2</t>
  </si>
  <si>
    <t>Transporte 3</t>
  </si>
  <si>
    <t>Transporte 4</t>
  </si>
  <si>
    <t>Transporte 5</t>
  </si>
  <si>
    <t>Total Transportes...</t>
  </si>
  <si>
    <t>625.- SEGUROS</t>
  </si>
  <si>
    <t>Seguro Instalaciones</t>
  </si>
  <si>
    <t>Seguros Vehículos</t>
  </si>
  <si>
    <t>RC Directivos</t>
  </si>
  <si>
    <t>R. Civil</t>
  </si>
  <si>
    <t>Seguro Voluntarios</t>
  </si>
  <si>
    <t>Total Seguros...</t>
  </si>
  <si>
    <t>626.- SERVICIOS BANCARIOS Y SIMILARES</t>
  </si>
  <si>
    <t>Gestión Recibos</t>
  </si>
  <si>
    <t>Servicios Bancarios</t>
  </si>
  <si>
    <t>Comisión Cuenta 2</t>
  </si>
  <si>
    <t>Comisión Cuenta 3</t>
  </si>
  <si>
    <t>Comisión Cuenta 4</t>
  </si>
  <si>
    <t>Total Servicios Bancarios...</t>
  </si>
  <si>
    <t>627. PUBLICIDAD, PROPAGANDA Y REL. PUB.</t>
  </si>
  <si>
    <t>Publicidad</t>
  </si>
  <si>
    <t>Relaciones Públicas</t>
  </si>
  <si>
    <t>Total Pub. e Rel.Pub…………………</t>
  </si>
  <si>
    <t>628.- SUMINISTROS</t>
  </si>
  <si>
    <t xml:space="preserve">Luz </t>
  </si>
  <si>
    <t>Agua</t>
  </si>
  <si>
    <t>Carburantes Instalaciones</t>
  </si>
  <si>
    <t>Carburantes Vehículos</t>
  </si>
  <si>
    <t>Otros Suministros</t>
  </si>
  <si>
    <t>Total Suministros………………….</t>
  </si>
  <si>
    <t>629.- OTROS SERVICIOS</t>
  </si>
  <si>
    <t>Correos e Mensaxería</t>
  </si>
  <si>
    <t>Asesoría e Auditoría</t>
  </si>
  <si>
    <t>Gastos de Viaje</t>
  </si>
  <si>
    <t>Comunidad de Vecinos</t>
  </si>
  <si>
    <t>Material de Oficina</t>
  </si>
  <si>
    <t>Cuotas Asociativas</t>
  </si>
  <si>
    <t>Comisión Central de Compras</t>
  </si>
  <si>
    <t>Protección datos</t>
  </si>
  <si>
    <t>Telefonía Fija y Móvil</t>
  </si>
  <si>
    <t>Cerro 2017 con 11270,91</t>
  </si>
  <si>
    <t>Total Otros Servicios………………….</t>
  </si>
  <si>
    <t>631.- OTROS TRIBUTOS</t>
  </si>
  <si>
    <t>IVTM</t>
  </si>
  <si>
    <t>Basura</t>
  </si>
  <si>
    <t>Tasas varias</t>
  </si>
  <si>
    <t>Otros tributos 1</t>
  </si>
  <si>
    <t>Otros tributos 2</t>
  </si>
  <si>
    <t>Otros tributos 3</t>
  </si>
  <si>
    <t>649.- OTROS GASTOS SOCIALES</t>
  </si>
  <si>
    <t>Prevención Riesgos Laborales</t>
  </si>
  <si>
    <t>Vigilancia de la Salud</t>
  </si>
  <si>
    <t>Formación Trabajadores</t>
  </si>
  <si>
    <t>Vestuario Personal</t>
  </si>
  <si>
    <t>Otros gastos sociales 3</t>
  </si>
  <si>
    <t>Otros gastos sociales 4</t>
  </si>
  <si>
    <t>Total Otros Gastos SOCIALES………………….</t>
  </si>
  <si>
    <t>650. AYUDAS MONETARIAS</t>
  </si>
  <si>
    <t>6501 AYUDAS MONETARIAS INDIVIDUALES</t>
  </si>
  <si>
    <t>Becas Alumnos</t>
  </si>
  <si>
    <t>Ayuda2</t>
  </si>
  <si>
    <t>Ayuda3</t>
  </si>
  <si>
    <t>Total 6501…….</t>
  </si>
  <si>
    <t>6502 AYUDAS MONETARIAS A ENTIDADES</t>
  </si>
  <si>
    <t xml:space="preserve">TOTAL </t>
  </si>
  <si>
    <t>Ayuda1</t>
  </si>
  <si>
    <t>Total 6502…….</t>
  </si>
  <si>
    <t>6503 AYUDAS MONETARIAS A TRAVES DE ENT.</t>
  </si>
  <si>
    <t>Total 6503…….</t>
  </si>
  <si>
    <t>6504 AYUDAS MONETARIAS COOP. INT.</t>
  </si>
  <si>
    <t>Total 6504…….</t>
  </si>
  <si>
    <t>651. AYUDAS NO MONETARIAS</t>
  </si>
  <si>
    <t>6511 AYUDAS NON MONETARIAS INDIVIDUALES</t>
  </si>
  <si>
    <t>Total 6511…….</t>
  </si>
  <si>
    <t>6512 AYUDAS NO MONETARIAS A ENTIDADES</t>
  </si>
  <si>
    <t>Total 6512…….</t>
  </si>
  <si>
    <t>6513 AYUDAS NO MON. A TRAVES DE ENT.</t>
  </si>
  <si>
    <t>Total 6513…….</t>
  </si>
  <si>
    <t>6514 AYUDAS NO MONETARIAS COOP. INT.</t>
  </si>
  <si>
    <t>Total 6514…….</t>
  </si>
  <si>
    <t>653.- COMPENSACIÓN DE GASTOS POR PRESTACIONES DE COLABORACIÓN</t>
  </si>
  <si>
    <t>Compensación Gastos Voluntarios</t>
  </si>
  <si>
    <t>Voluntarios ACTIVIDAD 2</t>
  </si>
  <si>
    <t>Voluntarios ACTIVIDAD 3</t>
  </si>
  <si>
    <t>Voluntarios ACTIVIDAD 4</t>
  </si>
  <si>
    <t>Voluntarios ACTIVIDAD 5</t>
  </si>
  <si>
    <t>Total Compensación Gastos………………….</t>
  </si>
  <si>
    <t>654.- REEMBOLSO DE GASTOS A ÓRGANOS DE GOBIERNO</t>
  </si>
  <si>
    <t>Gasto Previsto 1</t>
  </si>
  <si>
    <t>Gasto Previsto 2</t>
  </si>
  <si>
    <t>Gasto Previsto 3</t>
  </si>
  <si>
    <t>Gasto Previsto 4</t>
  </si>
  <si>
    <t>Gasto Previsto 5</t>
  </si>
  <si>
    <t>Total Reembolso de Gastos………………….</t>
  </si>
  <si>
    <t>66.- GASTOS FINANCIEROS</t>
  </si>
  <si>
    <t>662 INTERESES DE DEUDAS</t>
  </si>
  <si>
    <t>Préstamo 1</t>
  </si>
  <si>
    <t>Préstamo 2</t>
  </si>
  <si>
    <t>Préstamo 3</t>
  </si>
  <si>
    <t>Total 662……….</t>
  </si>
  <si>
    <t>666 PERDIDAS EN VALORES DEUDA</t>
  </si>
  <si>
    <t>Total 666……….</t>
  </si>
  <si>
    <t>667 PÉRDIDAS DE CRÉDITOS</t>
  </si>
  <si>
    <t>Crédito 1</t>
  </si>
  <si>
    <t>Crédito 2</t>
  </si>
  <si>
    <t>Crédito 3</t>
  </si>
  <si>
    <t>Total 667……….</t>
  </si>
  <si>
    <t>669 OTROS GASTOS FINANCIEROS</t>
  </si>
  <si>
    <t>Total 669…….</t>
  </si>
  <si>
    <t>Listado Extracto Analítico</t>
  </si>
  <si>
    <t>Entidad Asociación X</t>
  </si>
  <si>
    <t>Período: De 01 Ene a 31 Oct 20XX</t>
  </si>
  <si>
    <t>Nivel 1 - Centro 1</t>
  </si>
  <si>
    <t>60000000 - VIVERES</t>
  </si>
  <si>
    <t>Fecha</t>
  </si>
  <si>
    <t>Concepto</t>
  </si>
  <si>
    <t>Documento</t>
  </si>
  <si>
    <t>Importe Debe</t>
  </si>
  <si>
    <t>Importe Haber</t>
  </si>
  <si>
    <t>Saldo</t>
  </si>
  <si>
    <t>Contrapartida</t>
  </si>
  <si>
    <t>Total Cuenta</t>
  </si>
  <si>
    <t>Totales Acumulados Distribución</t>
  </si>
  <si>
    <t>60000001 - MATERIAL DE ACTIVIDADES</t>
  </si>
  <si>
    <t>60700002 - GASTOS ACTIVIDADES</t>
  </si>
  <si>
    <t>60700004 - FORMACION PERS. VOLUNTAR. E XD</t>
  </si>
  <si>
    <t>62700000 - PUBLICIDAD ASOCIACION</t>
  </si>
  <si>
    <t>62700001 - RELACIONS PUBLICAS</t>
  </si>
  <si>
    <t>62800002 - ELECTRICIDAD</t>
  </si>
  <si>
    <t>62900007 - CUOTAS ASOCIATIVAS</t>
  </si>
  <si>
    <t>63100002 - TASAS VARIAS</t>
  </si>
  <si>
    <t>65500002 - PERDIDAS SOCIOS IMPAGADOS</t>
  </si>
  <si>
    <t>70500000 - PRESTACION DE SERVICIOS</t>
  </si>
  <si>
    <t>72000001 - CUOTAS AFILIADOS</t>
  </si>
  <si>
    <t>72100000 - CUOTAS ACTIVIDADES VARIAS</t>
  </si>
  <si>
    <t>74050001 - DONATIVOS PERSONAS FISICAS</t>
  </si>
  <si>
    <t>74050002 - DONATIVOS PERSONAS JURIDICAS</t>
  </si>
  <si>
    <t xml:space="preserve">75200000 - ARRENDAMIENTOS A EMPRESA INSERCIÓN </t>
  </si>
  <si>
    <t>76910000 - INGRESOS FINANCIEROS</t>
  </si>
  <si>
    <t>77800000 - INGRESOS EXTRAORDINARIOS</t>
  </si>
  <si>
    <t>Total Nivel 1 - Centro 1</t>
  </si>
  <si>
    <t>TABLAS AUXILIARES</t>
  </si>
  <si>
    <t>Nº Usuarios</t>
  </si>
  <si>
    <t>% Usuarios</t>
  </si>
  <si>
    <t>Profesionales</t>
  </si>
  <si>
    <t>% Personal</t>
  </si>
  <si>
    <t>Total……..</t>
  </si>
  <si>
    <t>RETRIBUCIONES CONVENIO DISCAPACIDADE</t>
  </si>
  <si>
    <t>Salario Base</t>
  </si>
  <si>
    <t>CDP Automático
(3,7% Sal.Base)</t>
  </si>
  <si>
    <t>Nocturnidad
(Comp./Hora Noct)</t>
  </si>
  <si>
    <t>Cotizaciones S.Social</t>
  </si>
  <si>
    <t>Gerente</t>
  </si>
  <si>
    <t>Jefe Administración</t>
  </si>
  <si>
    <t>Indefinido TC</t>
  </si>
  <si>
    <t>Indefinido TP</t>
  </si>
  <si>
    <t>Indefinido TC Discapac.</t>
  </si>
  <si>
    <t>Interinidad TC</t>
  </si>
  <si>
    <t>Interinidad TP</t>
  </si>
  <si>
    <t>Obra o Servicio TC</t>
  </si>
  <si>
    <t>Obra o Servicio TP</t>
  </si>
  <si>
    <t>Eventual Circuns. TC</t>
  </si>
  <si>
    <t>Jefe 1ª Administración</t>
  </si>
  <si>
    <t>Contigencias Comunes</t>
  </si>
  <si>
    <t>Gobernante/a</t>
  </si>
  <si>
    <t>Fogasa, F.P. y Desmp.</t>
  </si>
  <si>
    <t>Jefe/a de Cocina</t>
  </si>
  <si>
    <t>CNAE</t>
  </si>
  <si>
    <t>Titulado Grado Superior</t>
  </si>
  <si>
    <t>CNAE a)</t>
  </si>
  <si>
    <t>Psicólogo</t>
  </si>
  <si>
    <t>CNAE g)</t>
  </si>
  <si>
    <t>Pedagogo</t>
  </si>
  <si>
    <t>Psicopedagogo</t>
  </si>
  <si>
    <t>Médico</t>
  </si>
  <si>
    <t>Pluses</t>
  </si>
  <si>
    <t>Logopeda</t>
  </si>
  <si>
    <t>Dirección</t>
  </si>
  <si>
    <t>Titulado Grado Medio</t>
  </si>
  <si>
    <t>Gerencia</t>
  </si>
  <si>
    <t>Fisioterapeuta</t>
  </si>
  <si>
    <t>Plus Conductor</t>
  </si>
  <si>
    <t>Trabajador Social</t>
  </si>
  <si>
    <t>Incentivo Emilia</t>
  </si>
  <si>
    <t>Educador Social</t>
  </si>
  <si>
    <t>Plus Coord. C3</t>
  </si>
  <si>
    <t>Diplomado Univ. Enfer.</t>
  </si>
  <si>
    <t>Plus Coord. C4</t>
  </si>
  <si>
    <t>Terapeuta Ocupacional</t>
  </si>
  <si>
    <t>Psicomotricista</t>
  </si>
  <si>
    <t>Precio hora /festivo</t>
  </si>
  <si>
    <t>Profesor de Taller</t>
  </si>
  <si>
    <t>Encargado de Taller</t>
  </si>
  <si>
    <t>19b</t>
  </si>
  <si>
    <t>Ayudante de Taller</t>
  </si>
  <si>
    <t>Monitor-Educador</t>
  </si>
  <si>
    <t>Interp. Lenga Signos</t>
  </si>
  <si>
    <t>Tecnico Integr. Social</t>
  </si>
  <si>
    <t>Preparador Laboral</t>
  </si>
  <si>
    <t>Auxiliar Enfermería</t>
  </si>
  <si>
    <t>Asistente personal</t>
  </si>
  <si>
    <t>Técnico Gestión Admn.</t>
  </si>
  <si>
    <t>Oficial 1ª Adminsitración</t>
  </si>
  <si>
    <t>Oficial 2ª Adminsitración</t>
  </si>
  <si>
    <t>Auxiliar de Gestión Adm.</t>
  </si>
  <si>
    <t>Oficial de 1ª de Oficios</t>
  </si>
  <si>
    <t>Oficial de 2ª de Oficios</t>
  </si>
  <si>
    <t>Cocinero</t>
  </si>
  <si>
    <t>Ayudante de cocina</t>
  </si>
  <si>
    <t>Conductor</t>
  </si>
  <si>
    <t>Auxiliar de Serv. Gen.</t>
  </si>
  <si>
    <t>Personal Serv. Domésticos</t>
  </si>
  <si>
    <t>Actividad 1</t>
  </si>
  <si>
    <t>Actividad 2</t>
  </si>
  <si>
    <t>Actividad 3</t>
  </si>
  <si>
    <t>Actividad 4</t>
  </si>
  <si>
    <t>Previsto</t>
  </si>
  <si>
    <t>Real</t>
  </si>
  <si>
    <t>% Desv.</t>
  </si>
  <si>
    <t>Medios de financiación</t>
  </si>
  <si>
    <t>Cuotas usuarios/afiliados</t>
  </si>
  <si>
    <t>Subvenciones, donaciones y patrocinios</t>
  </si>
  <si>
    <t xml:space="preserve"> Otros</t>
  </si>
  <si>
    <t>Recursos  económicos empleados</t>
  </si>
  <si>
    <t>Gastos por ayudas</t>
  </si>
  <si>
    <t>Gastos de personal</t>
  </si>
  <si>
    <t>Otros gastos de la actividad</t>
  </si>
  <si>
    <t>Gastos financieros</t>
  </si>
  <si>
    <t>Recursos Humanos</t>
  </si>
  <si>
    <t>Personal asalariado</t>
  </si>
  <si>
    <t>Persoanl contrato servicio</t>
  </si>
  <si>
    <t>Personal Voluntario</t>
  </si>
  <si>
    <t>Beneficiarios</t>
  </si>
  <si>
    <t>Persoas físicas</t>
  </si>
  <si>
    <t>Personas jurídicas</t>
  </si>
  <si>
    <t>CO</t>
  </si>
  <si>
    <t>VIV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</si>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</sst>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_-* #,##0\ _P_t_s_-;\-* #,##0\ _P_t_s_-;_-* &quot;-&quot;\ _P_t_s_-;_-@_-"/>
    <numFmt numFmtId="166" formatCode="#,##0\ &quot;Pts&quot;"/>
    <numFmt numFmtId="167" formatCode="#,##0.000"/>
    <numFmt numFmtId="168" formatCode="#,##0.00\ [$€-1]"/>
    <numFmt numFmtId="169" formatCode="_-* #,##0.00\ [$€]_-;\-* #,##0.00\ [$€]_-;_-* &quot;-&quot;??\ [$€]_-;_-@_-"/>
    <numFmt numFmtId="170" formatCode="0.000%"/>
    <numFmt numFmtId="171" formatCode="#,##0.00\ [$€-C0A]\ ;\-#,##0.00\ [$€-C0A]\ ;&quot; -&quot;00\ [$€-C0A]\ ;@\ "/>
    <numFmt numFmtId="172" formatCode="#,##0.00\ &quot;€&quot;"/>
    <numFmt numFmtId="173" formatCode="_-* #,##0.00\ [$€-81D]_-;\-* #,##0.00\ [$€-81D]_-;_-* &quot;-&quot;??\ [$€-81D]_-;_-@_-"/>
    <numFmt numFmtId="174" formatCode="#,##0.00;[Red]\-#,##0.00;0"/>
  </numFmts>
  <fonts count="9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Tahoma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3"/>
      <color indexed="10"/>
      <name val="Arial"/>
      <family val="2"/>
    </font>
    <font>
      <sz val="13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6"/>
      <color rgb="FF4F6228"/>
      <name val="Calibri"/>
      <family val="2"/>
    </font>
    <font>
      <sz val="11"/>
      <color rgb="FF4F6228"/>
      <name val="Calibri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3"/>
      <color rgb="FF0070C0"/>
      <name val="Arial"/>
      <family val="2"/>
    </font>
    <font>
      <sz val="13"/>
      <color rgb="FF0070C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12"/>
      <color rgb="FF0070C0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b/>
      <sz val="13"/>
      <color rgb="FFFF0000"/>
      <name val="Arial"/>
      <family val="2"/>
    </font>
    <font>
      <sz val="13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sz val="8"/>
      <color indexed="81"/>
      <name val="Tahoma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8"/>
      <color indexed="62"/>
      <name val="Arial"/>
      <family val="2"/>
    </font>
    <font>
      <sz val="8"/>
      <color indexed="17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name val="Arial Narrow"/>
      <family val="2"/>
    </font>
    <font>
      <sz val="7"/>
      <name val="Arial"/>
      <family val="2"/>
    </font>
    <font>
      <sz val="7"/>
      <name val="Arial Narrow"/>
      <family val="2"/>
    </font>
    <font>
      <b/>
      <i/>
      <sz val="18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theme="9"/>
      <name val="Arial"/>
      <family val="2"/>
    </font>
    <font>
      <sz val="8"/>
      <color theme="9"/>
      <name val="Arial"/>
      <family val="2"/>
    </font>
    <font>
      <sz val="9"/>
      <color theme="1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82">
    <xf numFmtId="0" fontId="0" fillId="0" borderId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1" borderId="5" applyNumberFormat="0" applyAlignment="0" applyProtection="0"/>
    <xf numFmtId="0" fontId="46" fillId="12" borderId="6" applyNumberFormat="0" applyAlignment="0" applyProtection="0"/>
    <xf numFmtId="0" fontId="47" fillId="12" borderId="5" applyNumberFormat="0" applyAlignment="0" applyProtection="0"/>
    <xf numFmtId="0" fontId="48" fillId="0" borderId="7" applyNumberFormat="0" applyFill="0" applyAlignment="0" applyProtection="0"/>
    <xf numFmtId="0" fontId="49" fillId="13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53" fillId="38" borderId="0" applyNumberFormat="0" applyBorder="0" applyAlignment="0" applyProtection="0"/>
    <xf numFmtId="0" fontId="9" fillId="0" borderId="0"/>
    <xf numFmtId="0" fontId="9" fillId="14" borderId="9" applyNumberFormat="0" applyFont="0" applyAlignment="0" applyProtection="0"/>
    <xf numFmtId="0" fontId="17" fillId="0" borderId="0"/>
    <xf numFmtId="0" fontId="25" fillId="0" borderId="0" applyBorder="0" applyProtection="0"/>
    <xf numFmtId="171" fontId="59" fillId="0" borderId="0" applyBorder="0" applyProtection="0"/>
    <xf numFmtId="0" fontId="8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0" fontId="7" fillId="14" borderId="9" applyNumberFormat="0" applyFont="0" applyAlignment="0" applyProtection="0"/>
    <xf numFmtId="0" fontId="7" fillId="0" borderId="0"/>
    <xf numFmtId="0" fontId="10" fillId="0" borderId="0"/>
    <xf numFmtId="0" fontId="59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14" borderId="9" applyNumberFormat="0" applyFont="0" applyAlignment="0" applyProtection="0"/>
    <xf numFmtId="0" fontId="10" fillId="0" borderId="0"/>
    <xf numFmtId="0" fontId="5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14" borderId="9" applyNumberFormat="0" applyFont="0" applyAlignment="0" applyProtection="0"/>
    <xf numFmtId="0" fontId="5" fillId="0" borderId="0"/>
    <xf numFmtId="44" fontId="8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43" fontId="93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9" applyNumberFormat="0" applyFont="0" applyAlignment="0" applyProtection="0"/>
    <xf numFmtId="0" fontId="2" fillId="14" borderId="9" applyNumberFormat="0" applyFont="0" applyAlignment="0" applyProtection="0"/>
    <xf numFmtId="0" fontId="2" fillId="14" borderId="9" applyNumberFormat="0" applyFont="0" applyAlignment="0" applyProtection="0"/>
    <xf numFmtId="0" fontId="2" fillId="14" borderId="9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9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9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9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9" applyNumberFormat="0" applyFont="0" applyAlignment="0" applyProtection="0"/>
    <xf numFmtId="0" fontId="1" fillId="14" borderId="9" applyNumberFormat="0" applyFont="0" applyAlignment="0" applyProtection="0"/>
    <xf numFmtId="0" fontId="1" fillId="14" borderId="9" applyNumberFormat="0" applyFont="0" applyAlignment="0" applyProtection="0"/>
    <xf numFmtId="0" fontId="1" fillId="14" borderId="9" applyNumberFormat="0" applyFont="0" applyAlignment="0" applyProtection="0"/>
    <xf numFmtId="44" fontId="93" fillId="0" borderId="0" applyFont="0" applyFill="0" applyBorder="0" applyAlignment="0" applyProtection="0"/>
  </cellStyleXfs>
  <cellXfs count="359">
    <xf numFmtId="0" fontId="0" fillId="0" borderId="0" xfId="0"/>
    <xf numFmtId="0" fontId="11" fillId="0" borderId="0" xfId="0" applyFont="1"/>
    <xf numFmtId="0" fontId="12" fillId="0" borderId="0" xfId="0" applyFont="1"/>
    <xf numFmtId="0" fontId="14" fillId="0" borderId="0" xfId="0" applyFont="1"/>
    <xf numFmtId="166" fontId="0" fillId="0" borderId="0" xfId="0" applyNumberFormat="1"/>
    <xf numFmtId="3" fontId="13" fillId="0" borderId="0" xfId="2" applyNumberFormat="1" applyFont="1" applyAlignment="1">
      <alignment horizontal="center"/>
    </xf>
    <xf numFmtId="164" fontId="0" fillId="0" borderId="0" xfId="0" applyNumberFormat="1"/>
    <xf numFmtId="0" fontId="15" fillId="0" borderId="0" xfId="0" applyFont="1"/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3" fontId="16" fillId="0" borderId="0" xfId="0" applyNumberFormat="1" applyFont="1"/>
    <xf numFmtId="167" fontId="16" fillId="0" borderId="0" xfId="0" applyNumberFormat="1" applyFont="1"/>
    <xf numFmtId="0" fontId="17" fillId="0" borderId="0" xfId="0" applyFont="1"/>
    <xf numFmtId="0" fontId="21" fillId="0" borderId="0" xfId="0" applyFont="1"/>
    <xf numFmtId="0" fontId="19" fillId="0" borderId="0" xfId="0" applyFont="1"/>
    <xf numFmtId="0" fontId="16" fillId="0" borderId="0" xfId="0" applyFont="1"/>
    <xf numFmtId="0" fontId="22" fillId="0" borderId="0" xfId="0" applyFont="1"/>
    <xf numFmtId="0" fontId="16" fillId="3" borderId="0" xfId="0" applyFont="1" applyFill="1" applyAlignment="1">
      <alignment horizontal="center"/>
    </xf>
    <xf numFmtId="166" fontId="16" fillId="3" borderId="0" xfId="0" applyNumberFormat="1" applyFont="1" applyFill="1" applyAlignment="1">
      <alignment horizontal="center"/>
    </xf>
    <xf numFmtId="3" fontId="18" fillId="4" borderId="0" xfId="2" applyNumberFormat="1" applyFont="1" applyFill="1" applyAlignment="1">
      <alignment horizontal="center"/>
    </xf>
    <xf numFmtId="0" fontId="18" fillId="0" borderId="0" xfId="0" applyFont="1" applyAlignment="1">
      <alignment horizontal="right"/>
    </xf>
    <xf numFmtId="0" fontId="11" fillId="5" borderId="0" xfId="0" applyFont="1" applyFill="1"/>
    <xf numFmtId="0" fontId="0" fillId="5" borderId="0" xfId="0" applyFill="1"/>
    <xf numFmtId="166" fontId="0" fillId="5" borderId="0" xfId="0" applyNumberFormat="1" applyFill="1"/>
    <xf numFmtId="3" fontId="13" fillId="5" borderId="0" xfId="2" applyNumberFormat="1" applyFont="1" applyFill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3" fontId="23" fillId="0" borderId="0" xfId="2" applyNumberFormat="1" applyFont="1" applyAlignment="1">
      <alignment horizontal="center"/>
    </xf>
    <xf numFmtId="0" fontId="23" fillId="3" borderId="0" xfId="0" applyFont="1" applyFill="1"/>
    <xf numFmtId="0" fontId="23" fillId="3" borderId="0" xfId="0" applyFont="1" applyFill="1" applyAlignment="1">
      <alignment horizontal="center"/>
    </xf>
    <xf numFmtId="3" fontId="23" fillId="3" borderId="0" xfId="2" applyNumberFormat="1" applyFont="1" applyFill="1" applyAlignment="1">
      <alignment horizontal="center"/>
    </xf>
    <xf numFmtId="0" fontId="0" fillId="6" borderId="0" xfId="0" applyFill="1"/>
    <xf numFmtId="166" fontId="0" fillId="6" borderId="0" xfId="0" applyNumberFormat="1" applyFill="1"/>
    <xf numFmtId="3" fontId="13" fillId="6" borderId="0" xfId="2" applyNumberFormat="1" applyFont="1" applyFill="1" applyAlignment="1">
      <alignment horizontal="center"/>
    </xf>
    <xf numFmtId="166" fontId="23" fillId="3" borderId="0" xfId="0" applyNumberFormat="1" applyFont="1" applyFill="1" applyAlignment="1">
      <alignment horizontal="center"/>
    </xf>
    <xf numFmtId="14" fontId="23" fillId="0" borderId="0" xfId="0" applyNumberFormat="1" applyFont="1"/>
    <xf numFmtId="10" fontId="23" fillId="0" borderId="0" xfId="0" applyNumberFormat="1" applyFont="1"/>
    <xf numFmtId="168" fontId="16" fillId="0" borderId="0" xfId="0" applyNumberFormat="1" applyFont="1"/>
    <xf numFmtId="168" fontId="18" fillId="0" borderId="0" xfId="0" applyNumberFormat="1" applyFont="1"/>
    <xf numFmtId="168" fontId="19" fillId="3" borderId="0" xfId="0" applyNumberFormat="1" applyFont="1" applyFill="1"/>
    <xf numFmtId="169" fontId="23" fillId="0" borderId="0" xfId="1" applyFont="1"/>
    <xf numFmtId="169" fontId="0" fillId="0" borderId="0" xfId="1" applyFont="1"/>
    <xf numFmtId="169" fontId="23" fillId="0" borderId="0" xfId="1" applyFont="1" applyAlignment="1">
      <alignment horizontal="right"/>
    </xf>
    <xf numFmtId="169" fontId="13" fillId="0" borderId="0" xfId="1" applyFont="1" applyAlignment="1">
      <alignment horizontal="center"/>
    </xf>
    <xf numFmtId="165" fontId="21" fillId="0" borderId="0" xfId="2" applyFont="1" applyAlignment="1">
      <alignment horizontal="right"/>
    </xf>
    <xf numFmtId="165" fontId="21" fillId="0" borderId="0" xfId="2" applyFont="1" applyAlignment="1">
      <alignment horizontal="center"/>
    </xf>
    <xf numFmtId="169" fontId="16" fillId="0" borderId="0" xfId="1" applyFont="1"/>
    <xf numFmtId="9" fontId="16" fillId="0" borderId="0" xfId="3" applyFont="1" applyAlignment="1">
      <alignment horizontal="center"/>
    </xf>
    <xf numFmtId="0" fontId="24" fillId="0" borderId="0" xfId="0" applyFont="1"/>
    <xf numFmtId="0" fontId="0" fillId="0" borderId="0" xfId="0" applyAlignment="1">
      <alignment horizontal="right"/>
    </xf>
    <xf numFmtId="9" fontId="0" fillId="0" borderId="0" xfId="3" applyFont="1"/>
    <xf numFmtId="0" fontId="21" fillId="0" borderId="0" xfId="0" applyFont="1" applyAlignment="1">
      <alignment horizontal="right"/>
    </xf>
    <xf numFmtId="0" fontId="25" fillId="7" borderId="0" xfId="0" applyFont="1" applyFill="1"/>
    <xf numFmtId="10" fontId="0" fillId="0" borderId="0" xfId="0" applyNumberFormat="1"/>
    <xf numFmtId="10" fontId="16" fillId="3" borderId="0" xfId="0" applyNumberFormat="1" applyFont="1" applyFill="1" applyAlignment="1">
      <alignment horizontal="center"/>
    </xf>
    <xf numFmtId="10" fontId="18" fillId="0" borderId="0" xfId="0" applyNumberFormat="1" applyFont="1" applyAlignment="1">
      <alignment horizontal="right"/>
    </xf>
    <xf numFmtId="10" fontId="0" fillId="5" borderId="0" xfId="0" applyNumberFormat="1" applyFill="1"/>
    <xf numFmtId="9" fontId="0" fillId="0" borderId="0" xfId="0" applyNumberFormat="1"/>
    <xf numFmtId="0" fontId="28" fillId="3" borderId="0" xfId="0" applyFont="1" applyFill="1"/>
    <xf numFmtId="0" fontId="29" fillId="3" borderId="0" xfId="0" applyFont="1" applyFill="1"/>
    <xf numFmtId="166" fontId="29" fillId="3" borderId="0" xfId="0" applyNumberFormat="1" applyFont="1" applyFill="1"/>
    <xf numFmtId="169" fontId="28" fillId="3" borderId="0" xfId="1" applyFont="1" applyFill="1" applyAlignment="1">
      <alignment horizontal="center"/>
    </xf>
    <xf numFmtId="9" fontId="28" fillId="3" borderId="0" xfId="3" applyFont="1" applyFill="1" applyAlignment="1">
      <alignment horizontal="center"/>
    </xf>
    <xf numFmtId="0" fontId="29" fillId="0" borderId="0" xfId="0" applyFont="1"/>
    <xf numFmtId="0" fontId="30" fillId="0" borderId="0" xfId="0" applyFont="1"/>
    <xf numFmtId="0" fontId="32" fillId="3" borderId="0" xfId="0" applyFont="1" applyFill="1"/>
    <xf numFmtId="0" fontId="33" fillId="3" borderId="0" xfId="0" applyFont="1" applyFill="1"/>
    <xf numFmtId="166" fontId="33" fillId="3" borderId="0" xfId="0" applyNumberFormat="1" applyFont="1" applyFill="1"/>
    <xf numFmtId="169" fontId="32" fillId="3" borderId="0" xfId="1" applyFont="1" applyFill="1" applyAlignment="1">
      <alignment horizontal="center"/>
    </xf>
    <xf numFmtId="9" fontId="32" fillId="3" borderId="0" xfId="3" applyFont="1" applyFill="1" applyAlignment="1">
      <alignment horizontal="center"/>
    </xf>
    <xf numFmtId="0" fontId="25" fillId="3" borderId="0" xfId="0" applyFont="1" applyFill="1"/>
    <xf numFmtId="166" fontId="25" fillId="3" borderId="0" xfId="0" applyNumberFormat="1" applyFont="1" applyFill="1"/>
    <xf numFmtId="169" fontId="25" fillId="3" borderId="0" xfId="1" applyFont="1" applyFill="1" applyAlignment="1">
      <alignment horizontal="center"/>
    </xf>
    <xf numFmtId="9" fontId="25" fillId="3" borderId="0" xfId="3" applyFont="1" applyFill="1" applyAlignment="1">
      <alignment horizontal="center"/>
    </xf>
    <xf numFmtId="0" fontId="25" fillId="0" borderId="0" xfId="0" applyFont="1"/>
    <xf numFmtId="0" fontId="27" fillId="0" borderId="0" xfId="0" applyFont="1"/>
    <xf numFmtId="164" fontId="25" fillId="0" borderId="0" xfId="0" applyNumberFormat="1" applyFont="1"/>
    <xf numFmtId="169" fontId="34" fillId="0" borderId="0" xfId="1" applyFont="1" applyAlignment="1">
      <alignment horizontal="center"/>
    </xf>
    <xf numFmtId="169" fontId="35" fillId="0" borderId="0" xfId="1" applyFont="1" applyAlignment="1">
      <alignment horizontal="center"/>
    </xf>
    <xf numFmtId="0" fontId="36" fillId="0" borderId="0" xfId="0" applyFont="1"/>
    <xf numFmtId="169" fontId="36" fillId="0" borderId="0" xfId="1" applyFont="1"/>
    <xf numFmtId="169" fontId="37" fillId="0" borderId="0" xfId="1" applyFont="1" applyAlignment="1">
      <alignment horizontal="center"/>
    </xf>
    <xf numFmtId="169" fontId="36" fillId="0" borderId="0" xfId="1" applyFont="1" applyAlignment="1">
      <alignment horizontal="center"/>
    </xf>
    <xf numFmtId="9" fontId="36" fillId="0" borderId="0" xfId="3" applyFont="1" applyAlignment="1">
      <alignment horizontal="center"/>
    </xf>
    <xf numFmtId="169" fontId="18" fillId="0" borderId="0" xfId="1" applyFont="1" applyAlignment="1">
      <alignment horizontal="center"/>
    </xf>
    <xf numFmtId="166" fontId="16" fillId="3" borderId="0" xfId="0" applyNumberFormat="1" applyFont="1" applyFill="1" applyAlignment="1">
      <alignment horizontal="center" wrapText="1"/>
    </xf>
    <xf numFmtId="0" fontId="21" fillId="0" borderId="1" xfId="0" applyFont="1" applyBorder="1"/>
    <xf numFmtId="164" fontId="0" fillId="0" borderId="1" xfId="0" applyNumberFormat="1" applyBorder="1"/>
    <xf numFmtId="169" fontId="13" fillId="0" borderId="1" xfId="1" applyFont="1" applyBorder="1" applyAlignment="1">
      <alignment horizontal="center"/>
    </xf>
    <xf numFmtId="10" fontId="16" fillId="0" borderId="0" xfId="3" applyNumberFormat="1" applyFont="1"/>
    <xf numFmtId="44" fontId="54" fillId="0" borderId="0" xfId="44" applyNumberFormat="1" applyFont="1"/>
    <xf numFmtId="170" fontId="0" fillId="0" borderId="0" xfId="3" applyNumberFormat="1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10" fontId="57" fillId="0" borderId="0" xfId="0" applyNumberFormat="1" applyFont="1"/>
    <xf numFmtId="3" fontId="13" fillId="0" borderId="0" xfId="2" applyNumberFormat="1" applyFont="1" applyFill="1" applyAlignment="1">
      <alignment horizontal="center"/>
    </xf>
    <xf numFmtId="0" fontId="23" fillId="0" borderId="0" xfId="0" applyFont="1" applyAlignment="1">
      <alignment horizontal="right"/>
    </xf>
    <xf numFmtId="0" fontId="58" fillId="40" borderId="0" xfId="0" applyFont="1" applyFill="1"/>
    <xf numFmtId="0" fontId="8" fillId="0" borderId="0" xfId="49"/>
    <xf numFmtId="0" fontId="8" fillId="0" borderId="1" xfId="49" applyBorder="1"/>
    <xf numFmtId="0" fontId="52" fillId="0" borderId="13" xfId="49" applyFont="1" applyBorder="1" applyAlignment="1">
      <alignment horizontal="center"/>
    </xf>
    <xf numFmtId="0" fontId="52" fillId="0" borderId="13" xfId="49" applyFont="1" applyBorder="1" applyAlignment="1">
      <alignment horizontal="center" wrapText="1"/>
    </xf>
    <xf numFmtId="0" fontId="49" fillId="39" borderId="1" xfId="49" applyFont="1" applyFill="1" applyBorder="1"/>
    <xf numFmtId="0" fontId="53" fillId="39" borderId="1" xfId="49" applyFont="1" applyFill="1" applyBorder="1"/>
    <xf numFmtId="4" fontId="8" fillId="0" borderId="1" xfId="49" applyNumberFormat="1" applyBorder="1"/>
    <xf numFmtId="3" fontId="8" fillId="0" borderId="1" xfId="49" applyNumberFormat="1" applyBorder="1"/>
    <xf numFmtId="4" fontId="8" fillId="0" borderId="0" xfId="49" applyNumberFormat="1"/>
    <xf numFmtId="0" fontId="60" fillId="3" borderId="0" xfId="0" applyFont="1" applyFill="1"/>
    <xf numFmtId="0" fontId="61" fillId="3" borderId="0" xfId="0" applyFont="1" applyFill="1"/>
    <xf numFmtId="166" fontId="61" fillId="3" borderId="0" xfId="0" applyNumberFormat="1" applyFont="1" applyFill="1"/>
    <xf numFmtId="169" fontId="60" fillId="3" borderId="0" xfId="1" applyFont="1" applyFill="1" applyAlignment="1">
      <alignment horizontal="center"/>
    </xf>
    <xf numFmtId="0" fontId="61" fillId="0" borderId="0" xfId="0" applyFont="1"/>
    <xf numFmtId="0" fontId="62" fillId="3" borderId="0" xfId="0" applyFont="1" applyFill="1"/>
    <xf numFmtId="166" fontId="62" fillId="3" borderId="0" xfId="0" applyNumberFormat="1" applyFont="1" applyFill="1"/>
    <xf numFmtId="169" fontId="62" fillId="3" borderId="0" xfId="1" applyFont="1" applyFill="1" applyAlignment="1">
      <alignment horizontal="center"/>
    </xf>
    <xf numFmtId="0" fontId="62" fillId="0" borderId="0" xfId="0" applyFont="1"/>
    <xf numFmtId="0" fontId="63" fillId="0" borderId="0" xfId="0" applyFont="1"/>
    <xf numFmtId="164" fontId="62" fillId="0" borderId="0" xfId="0" applyNumberFormat="1" applyFont="1"/>
    <xf numFmtId="169" fontId="64" fillId="0" borderId="0" xfId="1" applyFont="1" applyAlignment="1">
      <alignment horizontal="center"/>
    </xf>
    <xf numFmtId="169" fontId="31" fillId="0" borderId="0" xfId="1" applyFont="1" applyAlignment="1">
      <alignment horizontal="center"/>
    </xf>
    <xf numFmtId="0" fontId="65" fillId="0" borderId="0" xfId="0" applyFont="1"/>
    <xf numFmtId="169" fontId="65" fillId="0" borderId="0" xfId="1" applyFont="1"/>
    <xf numFmtId="169" fontId="66" fillId="0" borderId="0" xfId="1" applyFont="1" applyAlignment="1">
      <alignment horizontal="center"/>
    </xf>
    <xf numFmtId="0" fontId="28" fillId="41" borderId="0" xfId="0" applyFont="1" applyFill="1"/>
    <xf numFmtId="0" fontId="33" fillId="41" borderId="0" xfId="0" applyFont="1" applyFill="1"/>
    <xf numFmtId="166" fontId="33" fillId="41" borderId="0" xfId="0" applyNumberFormat="1" applyFont="1" applyFill="1"/>
    <xf numFmtId="169" fontId="28" fillId="41" borderId="0" xfId="1" applyFont="1" applyFill="1" applyAlignment="1">
      <alignment horizontal="center"/>
    </xf>
    <xf numFmtId="0" fontId="67" fillId="3" borderId="0" xfId="0" applyFont="1" applyFill="1"/>
    <xf numFmtId="0" fontId="68" fillId="3" borderId="0" xfId="0" applyFont="1" applyFill="1"/>
    <xf numFmtId="166" fontId="68" fillId="3" borderId="0" xfId="0" applyNumberFormat="1" applyFont="1" applyFill="1"/>
    <xf numFmtId="169" fontId="67" fillId="3" borderId="0" xfId="1" applyFont="1" applyFill="1" applyAlignment="1">
      <alignment horizontal="center"/>
    </xf>
    <xf numFmtId="9" fontId="67" fillId="3" borderId="0" xfId="3" applyFont="1" applyFill="1" applyAlignment="1">
      <alignment horizontal="center"/>
    </xf>
    <xf numFmtId="0" fontId="68" fillId="0" borderId="0" xfId="0" applyFont="1"/>
    <xf numFmtId="0" fontId="69" fillId="3" borderId="0" xfId="0" applyFont="1" applyFill="1"/>
    <xf numFmtId="166" fontId="69" fillId="3" borderId="0" xfId="0" applyNumberFormat="1" applyFont="1" applyFill="1"/>
    <xf numFmtId="169" fontId="69" fillId="3" borderId="0" xfId="1" applyFont="1" applyFill="1" applyAlignment="1">
      <alignment horizontal="center"/>
    </xf>
    <xf numFmtId="9" fontId="69" fillId="3" borderId="0" xfId="3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0" fontId="71" fillId="0" borderId="0" xfId="0" applyFont="1"/>
    <xf numFmtId="169" fontId="70" fillId="0" borderId="0" xfId="1" applyFont="1"/>
    <xf numFmtId="169" fontId="72" fillId="0" borderId="0" xfId="1" applyFont="1" applyAlignment="1">
      <alignment horizontal="center"/>
    </xf>
    <xf numFmtId="9" fontId="60" fillId="3" borderId="0" xfId="3" applyFont="1" applyFill="1" applyAlignment="1">
      <alignment horizontal="center"/>
    </xf>
    <xf numFmtId="9" fontId="62" fillId="3" borderId="0" xfId="3" applyFont="1" applyFill="1" applyAlignment="1">
      <alignment horizontal="center"/>
    </xf>
    <xf numFmtId="169" fontId="73" fillId="0" borderId="0" xfId="1" applyFont="1" applyAlignment="1">
      <alignment horizontal="center"/>
    </xf>
    <xf numFmtId="169" fontId="27" fillId="0" borderId="0" xfId="1" applyFont="1" applyAlignment="1">
      <alignment horizontal="center"/>
    </xf>
    <xf numFmtId="9" fontId="27" fillId="0" borderId="0" xfId="3" applyFont="1" applyAlignment="1">
      <alignment horizontal="center"/>
    </xf>
    <xf numFmtId="9" fontId="23" fillId="0" borderId="0" xfId="3" applyFont="1" applyAlignment="1">
      <alignment horizontal="center"/>
    </xf>
    <xf numFmtId="164" fontId="23" fillId="0" borderId="0" xfId="0" applyNumberFormat="1" applyFont="1"/>
    <xf numFmtId="169" fontId="27" fillId="0" borderId="0" xfId="1" applyFont="1"/>
    <xf numFmtId="9" fontId="13" fillId="0" borderId="1" xfId="3" applyFont="1" applyBorder="1" applyAlignment="1">
      <alignment horizontal="center"/>
    </xf>
    <xf numFmtId="166" fontId="16" fillId="0" borderId="0" xfId="0" applyNumberFormat="1" applyFont="1"/>
    <xf numFmtId="3" fontId="18" fillId="0" borderId="0" xfId="2" applyNumberFormat="1" applyFont="1" applyAlignment="1">
      <alignment horizontal="center"/>
    </xf>
    <xf numFmtId="10" fontId="16" fillId="0" borderId="0" xfId="0" applyNumberFormat="1" applyFont="1"/>
    <xf numFmtId="9" fontId="23" fillId="0" borderId="0" xfId="3" applyFont="1" applyAlignment="1">
      <alignment horizontal="right"/>
    </xf>
    <xf numFmtId="169" fontId="23" fillId="0" borderId="0" xfId="1" applyFont="1" applyAlignment="1">
      <alignment horizontal="center"/>
    </xf>
    <xf numFmtId="0" fontId="53" fillId="39" borderId="1" xfId="49" applyFont="1" applyFill="1" applyBorder="1" applyAlignment="1">
      <alignment horizontal="center"/>
    </xf>
    <xf numFmtId="0" fontId="74" fillId="0" borderId="0" xfId="0" quotePrefix="1" applyFont="1" applyAlignment="1">
      <alignment horizontal="left"/>
    </xf>
    <xf numFmtId="0" fontId="74" fillId="0" borderId="0" xfId="0" applyFont="1"/>
    <xf numFmtId="0" fontId="75" fillId="0" borderId="0" xfId="0" applyFont="1"/>
    <xf numFmtId="0" fontId="77" fillId="0" borderId="0" xfId="0" applyFont="1"/>
    <xf numFmtId="169" fontId="0" fillId="0" borderId="0" xfId="0" applyNumberFormat="1"/>
    <xf numFmtId="1" fontId="23" fillId="0" borderId="0" xfId="0" applyNumberFormat="1" applyFont="1"/>
    <xf numFmtId="169" fontId="23" fillId="0" borderId="0" xfId="1" applyFont="1" applyFill="1"/>
    <xf numFmtId="0" fontId="0" fillId="0" borderId="0" xfId="0" applyAlignment="1">
      <alignment horizontal="center"/>
    </xf>
    <xf numFmtId="0" fontId="78" fillId="43" borderId="17" xfId="0" applyFont="1" applyFill="1" applyBorder="1"/>
    <xf numFmtId="0" fontId="0" fillId="44" borderId="0" xfId="0" applyFill="1"/>
    <xf numFmtId="0" fontId="21" fillId="0" borderId="0" xfId="65" applyFont="1"/>
    <xf numFmtId="0" fontId="23" fillId="0" borderId="0" xfId="3" applyNumberFormat="1" applyFont="1" applyAlignment="1">
      <alignment horizontal="right"/>
    </xf>
    <xf numFmtId="0" fontId="10" fillId="0" borderId="0" xfId="0" applyFont="1"/>
    <xf numFmtId="9" fontId="15" fillId="0" borderId="0" xfId="3" applyFont="1" applyAlignment="1">
      <alignment horizontal="right"/>
    </xf>
    <xf numFmtId="3" fontId="21" fillId="0" borderId="0" xfId="2" applyNumberFormat="1" applyFont="1" applyAlignment="1">
      <alignment horizontal="right"/>
    </xf>
    <xf numFmtId="169" fontId="21" fillId="0" borderId="0" xfId="1" applyFont="1" applyAlignment="1">
      <alignment horizontal="right"/>
    </xf>
    <xf numFmtId="3" fontId="10" fillId="0" borderId="0" xfId="2" applyNumberFormat="1" applyFont="1" applyAlignment="1">
      <alignment horizontal="center"/>
    </xf>
    <xf numFmtId="0" fontId="10" fillId="6" borderId="0" xfId="65" applyFill="1"/>
    <xf numFmtId="166" fontId="10" fillId="6" borderId="0" xfId="65" applyNumberFormat="1" applyFill="1"/>
    <xf numFmtId="166" fontId="10" fillId="0" borderId="0" xfId="65" applyNumberFormat="1"/>
    <xf numFmtId="0" fontId="10" fillId="0" borderId="0" xfId="65" applyAlignment="1">
      <alignment horizontal="right"/>
    </xf>
    <xf numFmtId="0" fontId="23" fillId="3" borderId="19" xfId="65" applyFont="1" applyFill="1" applyBorder="1" applyAlignment="1">
      <alignment horizontal="center"/>
    </xf>
    <xf numFmtId="166" fontId="23" fillId="3" borderId="19" xfId="65" applyNumberFormat="1" applyFont="1" applyFill="1" applyBorder="1" applyAlignment="1">
      <alignment horizontal="center"/>
    </xf>
    <xf numFmtId="3" fontId="23" fillId="3" borderId="19" xfId="2" applyNumberFormat="1" applyFont="1" applyFill="1" applyBorder="1" applyAlignment="1">
      <alignment horizontal="center"/>
    </xf>
    <xf numFmtId="169" fontId="23" fillId="0" borderId="19" xfId="1" applyFont="1" applyBorder="1" applyAlignment="1">
      <alignment horizontal="right"/>
    </xf>
    <xf numFmtId="169" fontId="0" fillId="0" borderId="19" xfId="1" applyFont="1" applyBorder="1"/>
    <xf numFmtId="169" fontId="15" fillId="0" borderId="19" xfId="1" applyFont="1" applyBorder="1" applyAlignment="1">
      <alignment horizontal="right"/>
    </xf>
    <xf numFmtId="0" fontId="23" fillId="0" borderId="0" xfId="65" applyFont="1" applyAlignment="1">
      <alignment horizontal="center"/>
    </xf>
    <xf numFmtId="0" fontId="23" fillId="0" borderId="0" xfId="0" applyFont="1" applyAlignment="1">
      <alignment horizontal="left"/>
    </xf>
    <xf numFmtId="9" fontId="16" fillId="0" borderId="0" xfId="0" applyNumberFormat="1" applyFont="1"/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83" fillId="0" borderId="15" xfId="0" applyFont="1" applyBorder="1"/>
    <xf numFmtId="172" fontId="10" fillId="0" borderId="1" xfId="0" applyNumberFormat="1" applyFont="1" applyBorder="1"/>
    <xf numFmtId="172" fontId="0" fillId="0" borderId="1" xfId="0" applyNumberFormat="1" applyBorder="1"/>
    <xf numFmtId="0" fontId="82" fillId="0" borderId="24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82" fillId="0" borderId="22" xfId="0" applyFont="1" applyBorder="1" applyAlignment="1">
      <alignment horizontal="center"/>
    </xf>
    <xf numFmtId="0" fontId="82" fillId="0" borderId="25" xfId="0" applyFont="1" applyBorder="1" applyAlignment="1">
      <alignment horizontal="center"/>
    </xf>
    <xf numFmtId="0" fontId="82" fillId="0" borderId="26" xfId="0" applyFont="1" applyBorder="1" applyAlignment="1">
      <alignment horizontal="center"/>
    </xf>
    <xf numFmtId="0" fontId="83" fillId="0" borderId="1" xfId="0" applyFont="1" applyBorder="1"/>
    <xf numFmtId="10" fontId="0" fillId="0" borderId="1" xfId="3" applyNumberFormat="1" applyFont="1" applyBorder="1" applyAlignment="1">
      <alignment horizontal="center"/>
    </xf>
    <xf numFmtId="10" fontId="0" fillId="0" borderId="1" xfId="3" applyNumberFormat="1" applyFont="1" applyBorder="1"/>
    <xf numFmtId="10" fontId="0" fillId="0" borderId="1" xfId="3" applyNumberFormat="1" applyFont="1" applyFill="1" applyBorder="1"/>
    <xf numFmtId="0" fontId="83" fillId="42" borderId="15" xfId="0" applyFont="1" applyFill="1" applyBorder="1"/>
    <xf numFmtId="172" fontId="0" fillId="42" borderId="1" xfId="0" applyNumberFormat="1" applyFill="1" applyBorder="1"/>
    <xf numFmtId="0" fontId="84" fillId="45" borderId="0" xfId="0" applyFont="1" applyFill="1"/>
    <xf numFmtId="166" fontId="10" fillId="0" borderId="0" xfId="0" applyNumberFormat="1" applyFont="1"/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166" fontId="10" fillId="2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right"/>
    </xf>
    <xf numFmtId="10" fontId="23" fillId="0" borderId="0" xfId="3" applyNumberFormat="1" applyFont="1" applyFill="1" applyAlignment="1">
      <alignment horizontal="right"/>
    </xf>
    <xf numFmtId="168" fontId="16" fillId="0" borderId="0" xfId="0" applyNumberFormat="1" applyFont="1" applyAlignment="1">
      <alignment horizontal="center"/>
    </xf>
    <xf numFmtId="0" fontId="81" fillId="0" borderId="0" xfId="0" applyFont="1"/>
    <xf numFmtId="10" fontId="23" fillId="45" borderId="0" xfId="3" applyNumberFormat="1" applyFont="1" applyFill="1" applyAlignment="1">
      <alignment horizontal="right"/>
    </xf>
    <xf numFmtId="0" fontId="15" fillId="0" borderId="0" xfId="0" quotePrefix="1" applyFont="1" applyAlignment="1">
      <alignment horizontal="left"/>
    </xf>
    <xf numFmtId="0" fontId="23" fillId="0" borderId="0" xfId="0" quotePrefix="1" applyFont="1" applyAlignment="1">
      <alignment horizontal="left"/>
    </xf>
    <xf numFmtId="0" fontId="81" fillId="0" borderId="0" xfId="0" quotePrefix="1" applyFont="1" applyAlignment="1">
      <alignment horizontal="left"/>
    </xf>
    <xf numFmtId="0" fontId="15" fillId="0" borderId="0" xfId="0" applyFont="1" applyAlignment="1">
      <alignment horizontal="left"/>
    </xf>
    <xf numFmtId="10" fontId="54" fillId="0" borderId="0" xfId="3" applyNumberFormat="1" applyFont="1" applyFill="1" applyAlignment="1">
      <alignment horizontal="right"/>
    </xf>
    <xf numFmtId="0" fontId="85" fillId="0" borderId="0" xfId="0" applyFont="1"/>
    <xf numFmtId="0" fontId="85" fillId="0" borderId="0" xfId="0" applyFont="1" applyAlignment="1">
      <alignment horizontal="right"/>
    </xf>
    <xf numFmtId="10" fontId="85" fillId="0" borderId="0" xfId="3" applyNumberFormat="1" applyFont="1" applyAlignment="1">
      <alignment horizontal="right"/>
    </xf>
    <xf numFmtId="0" fontId="15" fillId="0" borderId="0" xfId="0" applyFont="1" applyAlignment="1">
      <alignment horizontal="right"/>
    </xf>
    <xf numFmtId="10" fontId="15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8" fontId="18" fillId="0" borderId="0" xfId="0" applyNumberFormat="1" applyFont="1" applyAlignment="1">
      <alignment horizontal="center"/>
    </xf>
    <xf numFmtId="0" fontId="84" fillId="46" borderId="0" xfId="0" applyFont="1" applyFill="1"/>
    <xf numFmtId="0" fontId="24" fillId="46" borderId="0" xfId="0" applyFont="1" applyFill="1"/>
    <xf numFmtId="0" fontId="78" fillId="43" borderId="0" xfId="0" applyFont="1" applyFill="1"/>
    <xf numFmtId="0" fontId="0" fillId="44" borderId="0" xfId="0" applyFill="1" applyAlignment="1">
      <alignment horizontal="center"/>
    </xf>
    <xf numFmtId="169" fontId="29" fillId="0" borderId="0" xfId="0" applyNumberFormat="1" applyFont="1"/>
    <xf numFmtId="173" fontId="29" fillId="0" borderId="0" xfId="0" applyNumberFormat="1" applyFont="1"/>
    <xf numFmtId="173" fontId="16" fillId="0" borderId="0" xfId="0" applyNumberFormat="1" applyFont="1"/>
    <xf numFmtId="173" fontId="10" fillId="0" borderId="0" xfId="0" applyNumberFormat="1" applyFont="1"/>
    <xf numFmtId="169" fontId="23" fillId="0" borderId="0" xfId="1" applyFont="1" applyFill="1" applyAlignment="1">
      <alignment horizontal="right"/>
    </xf>
    <xf numFmtId="10" fontId="0" fillId="0" borderId="0" xfId="3" applyNumberFormat="1" applyFont="1"/>
    <xf numFmtId="3" fontId="13" fillId="0" borderId="0" xfId="2" applyNumberFormat="1" applyFont="1" applyAlignment="1">
      <alignment horizontal="left"/>
    </xf>
    <xf numFmtId="3" fontId="0" fillId="0" borderId="0" xfId="0" applyNumberFormat="1"/>
    <xf numFmtId="169" fontId="15" fillId="0" borderId="0" xfId="1" applyFont="1" applyAlignment="1">
      <alignment horizontal="right"/>
    </xf>
    <xf numFmtId="0" fontId="10" fillId="0" borderId="0" xfId="65"/>
    <xf numFmtId="169" fontId="10" fillId="0" borderId="0" xfId="1" applyFont="1"/>
    <xf numFmtId="0" fontId="81" fillId="0" borderId="18" xfId="66" applyFont="1" applyBorder="1" applyAlignment="1">
      <alignment wrapText="1"/>
    </xf>
    <xf numFmtId="0" fontId="23" fillId="0" borderId="0" xfId="65" applyFont="1"/>
    <xf numFmtId="0" fontId="11" fillId="0" borderId="0" xfId="65" applyFont="1"/>
    <xf numFmtId="0" fontId="69" fillId="0" borderId="0" xfId="65" applyFont="1"/>
    <xf numFmtId="169" fontId="23" fillId="0" borderId="0" xfId="1" applyFont="1" applyBorder="1" applyAlignment="1">
      <alignment horizontal="right"/>
    </xf>
    <xf numFmtId="0" fontId="74" fillId="47" borderId="0" xfId="0" applyFont="1" applyFill="1"/>
    <xf numFmtId="0" fontId="81" fillId="47" borderId="0" xfId="0" applyFont="1" applyFill="1"/>
    <xf numFmtId="0" fontId="23" fillId="47" borderId="0" xfId="0" applyFont="1" applyFill="1"/>
    <xf numFmtId="14" fontId="23" fillId="47" borderId="0" xfId="0" applyNumberFormat="1" applyFont="1" applyFill="1" applyAlignment="1">
      <alignment horizontal="right"/>
    </xf>
    <xf numFmtId="10" fontId="23" fillId="47" borderId="0" xfId="3" applyNumberFormat="1" applyFont="1" applyFill="1" applyAlignment="1">
      <alignment horizontal="right"/>
    </xf>
    <xf numFmtId="10" fontId="54" fillId="47" borderId="0" xfId="3" applyNumberFormat="1" applyFont="1" applyFill="1" applyAlignment="1">
      <alignment horizontal="right"/>
    </xf>
    <xf numFmtId="168" fontId="16" fillId="47" borderId="0" xfId="0" applyNumberFormat="1" applyFont="1" applyFill="1"/>
    <xf numFmtId="168" fontId="16" fillId="47" borderId="0" xfId="0" applyNumberFormat="1" applyFont="1" applyFill="1" applyAlignment="1">
      <alignment horizontal="center"/>
    </xf>
    <xf numFmtId="0" fontId="15" fillId="47" borderId="0" xfId="0" applyFont="1" applyFill="1"/>
    <xf numFmtId="0" fontId="15" fillId="45" borderId="0" xfId="0" applyFont="1" applyFill="1"/>
    <xf numFmtId="0" fontId="23" fillId="45" borderId="0" xfId="0" applyFont="1" applyFill="1"/>
    <xf numFmtId="14" fontId="23" fillId="45" borderId="0" xfId="0" applyNumberFormat="1" applyFont="1" applyFill="1" applyAlignment="1">
      <alignment horizontal="right"/>
    </xf>
    <xf numFmtId="168" fontId="16" fillId="45" borderId="0" xfId="0" applyNumberFormat="1" applyFont="1" applyFill="1"/>
    <xf numFmtId="168" fontId="16" fillId="45" borderId="0" xfId="0" applyNumberFormat="1" applyFont="1" applyFill="1" applyAlignment="1">
      <alignment horizontal="center"/>
    </xf>
    <xf numFmtId="0" fontId="21" fillId="0" borderId="0" xfId="65" applyFont="1" applyAlignment="1">
      <alignment horizontal="right"/>
    </xf>
    <xf numFmtId="1" fontId="0" fillId="0" borderId="0" xfId="0" applyNumberFormat="1"/>
    <xf numFmtId="1" fontId="0" fillId="2" borderId="0" xfId="0" applyNumberFormat="1" applyFill="1" applyAlignment="1">
      <alignment horizontal="center"/>
    </xf>
    <xf numFmtId="1" fontId="16" fillId="0" borderId="0" xfId="0" applyNumberFormat="1" applyFont="1"/>
    <xf numFmtId="1" fontId="23" fillId="47" borderId="0" xfId="0" applyNumberFormat="1" applyFont="1" applyFill="1"/>
    <xf numFmtId="1" fontId="18" fillId="0" borderId="0" xfId="0" applyNumberFormat="1" applyFont="1"/>
    <xf numFmtId="1" fontId="23" fillId="45" borderId="0" xfId="0" applyNumberFormat="1" applyFont="1" applyFill="1"/>
    <xf numFmtId="1" fontId="16" fillId="47" borderId="0" xfId="0" applyNumberFormat="1" applyFont="1" applyFill="1"/>
    <xf numFmtId="4" fontId="13" fillId="0" borderId="0" xfId="2" applyNumberFormat="1" applyFont="1" applyAlignment="1">
      <alignment horizontal="center"/>
    </xf>
    <xf numFmtId="173" fontId="0" fillId="0" borderId="0" xfId="0" applyNumberFormat="1"/>
    <xf numFmtId="170" fontId="0" fillId="48" borderId="0" xfId="3" applyNumberFormat="1" applyFont="1" applyFill="1"/>
    <xf numFmtId="0" fontId="91" fillId="0" borderId="0" xfId="106" applyFont="1" applyAlignment="1">
      <alignment horizontal="left"/>
    </xf>
    <xf numFmtId="0" fontId="3" fillId="0" borderId="0" xfId="106"/>
    <xf numFmtId="0" fontId="52" fillId="0" borderId="0" xfId="106" applyFont="1"/>
    <xf numFmtId="0" fontId="52" fillId="43" borderId="0" xfId="106" applyFont="1" applyFill="1"/>
    <xf numFmtId="0" fontId="3" fillId="43" borderId="0" xfId="106" applyFill="1"/>
    <xf numFmtId="0" fontId="92" fillId="44" borderId="28" xfId="106" applyFont="1" applyFill="1" applyBorder="1" applyAlignment="1">
      <alignment horizontal="right"/>
    </xf>
    <xf numFmtId="0" fontId="92" fillId="44" borderId="28" xfId="106" applyFont="1" applyFill="1" applyBorder="1" applyAlignment="1">
      <alignment horizontal="left"/>
    </xf>
    <xf numFmtId="14" fontId="3" fillId="0" borderId="0" xfId="106" applyNumberFormat="1" applyAlignment="1">
      <alignment horizontal="right"/>
    </xf>
    <xf numFmtId="174" fontId="3" fillId="0" borderId="0" xfId="106" applyNumberFormat="1"/>
    <xf numFmtId="174" fontId="52" fillId="0" borderId="0" xfId="106" applyNumberFormat="1" applyFont="1"/>
    <xf numFmtId="9" fontId="23" fillId="0" borderId="0" xfId="3" applyFont="1" applyFill="1" applyAlignment="1">
      <alignment horizontal="right"/>
    </xf>
    <xf numFmtId="0" fontId="94" fillId="0" borderId="0" xfId="0" applyFont="1"/>
    <xf numFmtId="0" fontId="95" fillId="0" borderId="0" xfId="0" applyFont="1"/>
    <xf numFmtId="168" fontId="70" fillId="0" borderId="0" xfId="0" applyNumberFormat="1" applyFont="1"/>
    <xf numFmtId="43" fontId="0" fillId="0" borderId="0" xfId="107" applyFont="1"/>
    <xf numFmtId="10" fontId="71" fillId="0" borderId="0" xfId="3" applyNumberFormat="1" applyFont="1" applyFill="1" applyAlignment="1">
      <alignment horizontal="right"/>
    </xf>
    <xf numFmtId="170" fontId="69" fillId="0" borderId="0" xfId="3" applyNumberFormat="1" applyFont="1"/>
    <xf numFmtId="169" fontId="71" fillId="0" borderId="0" xfId="1" applyFont="1" applyAlignment="1">
      <alignment horizontal="right"/>
    </xf>
    <xf numFmtId="10" fontId="69" fillId="0" borderId="0" xfId="3" applyNumberFormat="1" applyFont="1"/>
    <xf numFmtId="8" fontId="71" fillId="0" borderId="0" xfId="65" applyNumberFormat="1" applyFont="1"/>
    <xf numFmtId="8" fontId="10" fillId="0" borderId="0" xfId="65" applyNumberFormat="1"/>
    <xf numFmtId="0" fontId="10" fillId="0" borderId="0" xfId="65" applyAlignment="1">
      <alignment wrapText="1"/>
    </xf>
    <xf numFmtId="0" fontId="87" fillId="0" borderId="0" xfId="0" applyFont="1" applyAlignment="1">
      <alignment vertical="center"/>
    </xf>
    <xf numFmtId="0" fontId="23" fillId="3" borderId="19" xfId="65" applyFont="1" applyFill="1" applyBorder="1"/>
    <xf numFmtId="0" fontId="54" fillId="0" borderId="0" xfId="0" applyFont="1" applyAlignment="1">
      <alignment vertical="center"/>
    </xf>
    <xf numFmtId="0" fontId="88" fillId="0" borderId="0" xfId="0" applyFont="1"/>
    <xf numFmtId="0" fontId="90" fillId="0" borderId="0" xfId="0" applyFont="1"/>
    <xf numFmtId="0" fontId="89" fillId="0" borderId="0" xfId="65" applyFont="1"/>
    <xf numFmtId="0" fontId="88" fillId="0" borderId="0" xfId="65" applyFont="1"/>
    <xf numFmtId="169" fontId="89" fillId="0" borderId="0" xfId="0" applyNumberFormat="1" applyFont="1"/>
    <xf numFmtId="173" fontId="23" fillId="0" borderId="0" xfId="0" applyNumberFormat="1" applyFont="1"/>
    <xf numFmtId="0" fontId="71" fillId="0" borderId="0" xfId="0" applyFont="1" applyAlignment="1">
      <alignment horizontal="left"/>
    </xf>
    <xf numFmtId="170" fontId="0" fillId="0" borderId="0" xfId="3" applyNumberFormat="1" applyFont="1" applyFill="1"/>
    <xf numFmtId="173" fontId="89" fillId="0" borderId="0" xfId="0" applyNumberFormat="1" applyFont="1"/>
    <xf numFmtId="3" fontId="23" fillId="0" borderId="0" xfId="2" applyNumberFormat="1" applyFont="1" applyFill="1" applyAlignment="1">
      <alignment horizontal="center"/>
    </xf>
    <xf numFmtId="0" fontId="71" fillId="0" borderId="0" xfId="0" applyFont="1" applyAlignment="1">
      <alignment horizontal="center"/>
    </xf>
    <xf numFmtId="9" fontId="71" fillId="0" borderId="0" xfId="3" applyFont="1" applyAlignment="1">
      <alignment horizontal="right"/>
    </xf>
    <xf numFmtId="0" fontId="0" fillId="49" borderId="0" xfId="0" applyFill="1"/>
    <xf numFmtId="0" fontId="10" fillId="49" borderId="0" xfId="0" applyFont="1" applyFill="1"/>
    <xf numFmtId="0" fontId="10" fillId="49" borderId="0" xfId="85" applyFill="1"/>
    <xf numFmtId="9" fontId="0" fillId="49" borderId="0" xfId="3" applyFont="1" applyFill="1"/>
    <xf numFmtId="44" fontId="10" fillId="0" borderId="0" xfId="281" applyFont="1"/>
    <xf numFmtId="9" fontId="10" fillId="0" borderId="0" xfId="65" applyNumberFormat="1"/>
    <xf numFmtId="8" fontId="23" fillId="0" borderId="0" xfId="65" applyNumberFormat="1" applyFont="1"/>
    <xf numFmtId="9" fontId="10" fillId="0" borderId="0" xfId="3"/>
    <xf numFmtId="9" fontId="29" fillId="0" borderId="0" xfId="3" applyFont="1"/>
    <xf numFmtId="168" fontId="96" fillId="0" borderId="0" xfId="0" applyNumberFormat="1" applyFont="1"/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9" fontId="23" fillId="0" borderId="0" xfId="1" applyFont="1" applyFill="1" applyAlignment="1">
      <alignment horizontal="center"/>
    </xf>
    <xf numFmtId="169" fontId="23" fillId="0" borderId="0" xfId="1" applyFont="1" applyAlignment="1">
      <alignment horizontal="center"/>
    </xf>
    <xf numFmtId="0" fontId="23" fillId="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166" fontId="23" fillId="3" borderId="0" xfId="0" applyNumberFormat="1" applyFont="1" applyFill="1" applyAlignment="1">
      <alignment horizontal="center"/>
    </xf>
    <xf numFmtId="2" fontId="23" fillId="0" borderId="0" xfId="1" applyNumberFormat="1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9" fontId="21" fillId="0" borderId="21" xfId="0" applyNumberFormat="1" applyFont="1" applyBorder="1" applyAlignment="1">
      <alignment horizontal="center" wrapText="1"/>
    </xf>
    <xf numFmtId="49" fontId="21" fillId="0" borderId="22" xfId="0" applyNumberFormat="1" applyFont="1" applyBorder="1" applyAlignment="1">
      <alignment horizontal="center" wrapText="1"/>
    </xf>
    <xf numFmtId="0" fontId="82" fillId="0" borderId="21" xfId="0" applyFont="1" applyBorder="1" applyAlignment="1">
      <alignment horizontal="center"/>
    </xf>
    <xf numFmtId="0" fontId="82" fillId="0" borderId="22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52" fillId="0" borderId="12" xfId="49" applyFont="1" applyBorder="1" applyAlignment="1">
      <alignment horizontal="center"/>
    </xf>
    <xf numFmtId="0" fontId="52" fillId="0" borderId="14" xfId="49" applyFont="1" applyBorder="1" applyAlignment="1">
      <alignment horizontal="center"/>
    </xf>
    <xf numFmtId="0" fontId="52" fillId="0" borderId="11" xfId="49" applyFont="1" applyBorder="1" applyAlignment="1">
      <alignment horizontal="center"/>
    </xf>
    <xf numFmtId="0" fontId="10" fillId="3" borderId="0" xfId="0" applyFont="1" applyFill="1"/>
    <xf numFmtId="166" fontId="10" fillId="3" borderId="0" xfId="0" applyNumberFormat="1" applyFont="1" applyFill="1"/>
    <xf numFmtId="169" fontId="10" fillId="3" borderId="0" xfId="1" applyFont="1" applyFill="1" applyAlignment="1">
      <alignment horizontal="center"/>
    </xf>
    <xf numFmtId="9" fontId="10" fillId="3" borderId="0" xfId="3" applyFont="1" applyFill="1" applyAlignment="1">
      <alignment horizontal="center"/>
    </xf>
    <xf numFmtId="169" fontId="10" fillId="0" borderId="0" xfId="0" applyNumberFormat="1" applyFont="1"/>
    <xf numFmtId="169" fontId="15" fillId="0" borderId="0" xfId="1" applyFont="1" applyAlignment="1">
      <alignment horizontal="center"/>
    </xf>
    <xf numFmtId="3" fontId="15" fillId="0" borderId="0" xfId="2" applyNumberFormat="1" applyFont="1" applyAlignment="1">
      <alignment horizontal="center"/>
    </xf>
    <xf numFmtId="164" fontId="10" fillId="0" borderId="0" xfId="0" applyNumberFormat="1" applyFont="1"/>
    <xf numFmtId="0" fontId="13" fillId="0" borderId="0" xfId="0" applyFont="1"/>
    <xf numFmtId="169" fontId="15" fillId="0" borderId="0" xfId="1" applyFont="1"/>
    <xf numFmtId="3" fontId="15" fillId="4" borderId="0" xfId="2" applyNumberFormat="1" applyFont="1" applyFill="1" applyAlignment="1">
      <alignment horizontal="center"/>
    </xf>
    <xf numFmtId="169" fontId="15" fillId="0" borderId="0" xfId="1" applyFont="1" applyFill="1" applyAlignment="1">
      <alignment horizontal="right"/>
    </xf>
    <xf numFmtId="169" fontId="15" fillId="0" borderId="0" xfId="1" applyFont="1" applyAlignment="1">
      <alignment horizontal="center"/>
    </xf>
    <xf numFmtId="3" fontId="15" fillId="0" borderId="0" xfId="0" applyNumberFormat="1" applyFont="1"/>
    <xf numFmtId="169" fontId="15" fillId="0" borderId="0" xfId="1" applyFont="1" applyAlignment="1"/>
    <xf numFmtId="3" fontId="15" fillId="0" borderId="0" xfId="0" applyNumberFormat="1" applyFont="1" applyAlignment="1">
      <alignment horizontal="right"/>
    </xf>
    <xf numFmtId="0" fontId="1" fillId="0" borderId="1" xfId="49" applyFont="1" applyBorder="1"/>
    <xf numFmtId="9" fontId="1" fillId="0" borderId="1" xfId="3" applyFont="1" applyBorder="1" applyAlignment="1">
      <alignment horizontal="center"/>
    </xf>
  </cellXfs>
  <cellStyles count="282">
    <cellStyle name="20% - Énfasis1" xfId="21" builtinId="30" customBuiltin="1"/>
    <cellStyle name="20% - Énfasis1 2" xfId="50" xr:uid="{00000000-0005-0000-0000-000001000000}"/>
    <cellStyle name="20% - Énfasis1 2 2" xfId="87" xr:uid="{00000000-0005-0000-0000-000002000000}"/>
    <cellStyle name="20% - Énfasis1 2 2 2" xfId="109" xr:uid="{00000000-0005-0000-0000-000003000000}"/>
    <cellStyle name="20% - Énfasis1 2 2 2 2" xfId="229" xr:uid="{00000000-0005-0000-0000-000004000000}"/>
    <cellStyle name="20% - Énfasis1 2 2 3" xfId="209" xr:uid="{00000000-0005-0000-0000-000005000000}"/>
    <cellStyle name="20% - Énfasis1 2 3" xfId="108" xr:uid="{00000000-0005-0000-0000-000006000000}"/>
    <cellStyle name="20% - Énfasis1 2 3 2" xfId="228" xr:uid="{00000000-0005-0000-0000-000007000000}"/>
    <cellStyle name="20% - Énfasis1 2 4" xfId="177" xr:uid="{00000000-0005-0000-0000-000008000000}"/>
    <cellStyle name="20% - Énfasis1 3" xfId="71" xr:uid="{00000000-0005-0000-0000-000009000000}"/>
    <cellStyle name="20% - Énfasis1 3 2" xfId="110" xr:uid="{00000000-0005-0000-0000-00000A000000}"/>
    <cellStyle name="20% - Énfasis1 3 2 2" xfId="230" xr:uid="{00000000-0005-0000-0000-00000B000000}"/>
    <cellStyle name="20% - Énfasis1 3 3" xfId="194" xr:uid="{00000000-0005-0000-0000-00000C000000}"/>
    <cellStyle name="20% - Énfasis1 4" xfId="162" xr:uid="{00000000-0005-0000-0000-00000D000000}"/>
    <cellStyle name="20% - Énfasis2" xfId="25" builtinId="34" customBuiltin="1"/>
    <cellStyle name="20% - Énfasis2 2" xfId="52" xr:uid="{00000000-0005-0000-0000-00000F000000}"/>
    <cellStyle name="20% - Énfasis2 2 2" xfId="89" xr:uid="{00000000-0005-0000-0000-000010000000}"/>
    <cellStyle name="20% - Énfasis2 2 2 2" xfId="112" xr:uid="{00000000-0005-0000-0000-000011000000}"/>
    <cellStyle name="20% - Énfasis2 2 2 2 2" xfId="232" xr:uid="{00000000-0005-0000-0000-000012000000}"/>
    <cellStyle name="20% - Énfasis2 2 2 3" xfId="211" xr:uid="{00000000-0005-0000-0000-000013000000}"/>
    <cellStyle name="20% - Énfasis2 2 3" xfId="111" xr:uid="{00000000-0005-0000-0000-000014000000}"/>
    <cellStyle name="20% - Énfasis2 2 3 2" xfId="231" xr:uid="{00000000-0005-0000-0000-000015000000}"/>
    <cellStyle name="20% - Énfasis2 2 4" xfId="179" xr:uid="{00000000-0005-0000-0000-000016000000}"/>
    <cellStyle name="20% - Énfasis2 3" xfId="73" xr:uid="{00000000-0005-0000-0000-000017000000}"/>
    <cellStyle name="20% - Énfasis2 3 2" xfId="113" xr:uid="{00000000-0005-0000-0000-000018000000}"/>
    <cellStyle name="20% - Énfasis2 3 2 2" xfId="233" xr:uid="{00000000-0005-0000-0000-000019000000}"/>
    <cellStyle name="20% - Énfasis2 3 3" xfId="196" xr:uid="{00000000-0005-0000-0000-00001A000000}"/>
    <cellStyle name="20% - Énfasis2 4" xfId="164" xr:uid="{00000000-0005-0000-0000-00001B000000}"/>
    <cellStyle name="20% - Énfasis3" xfId="29" builtinId="38" customBuiltin="1"/>
    <cellStyle name="20% - Énfasis3 2" xfId="54" xr:uid="{00000000-0005-0000-0000-00001D000000}"/>
    <cellStyle name="20% - Énfasis3 2 2" xfId="91" xr:uid="{00000000-0005-0000-0000-00001E000000}"/>
    <cellStyle name="20% - Énfasis3 2 2 2" xfId="115" xr:uid="{00000000-0005-0000-0000-00001F000000}"/>
    <cellStyle name="20% - Énfasis3 2 2 2 2" xfId="235" xr:uid="{00000000-0005-0000-0000-000020000000}"/>
    <cellStyle name="20% - Énfasis3 2 2 3" xfId="213" xr:uid="{00000000-0005-0000-0000-000021000000}"/>
    <cellStyle name="20% - Énfasis3 2 3" xfId="114" xr:uid="{00000000-0005-0000-0000-000022000000}"/>
    <cellStyle name="20% - Énfasis3 2 3 2" xfId="234" xr:uid="{00000000-0005-0000-0000-000023000000}"/>
    <cellStyle name="20% - Énfasis3 2 4" xfId="181" xr:uid="{00000000-0005-0000-0000-000024000000}"/>
    <cellStyle name="20% - Énfasis3 3" xfId="75" xr:uid="{00000000-0005-0000-0000-000025000000}"/>
    <cellStyle name="20% - Énfasis3 3 2" xfId="116" xr:uid="{00000000-0005-0000-0000-000026000000}"/>
    <cellStyle name="20% - Énfasis3 3 2 2" xfId="236" xr:uid="{00000000-0005-0000-0000-000027000000}"/>
    <cellStyle name="20% - Énfasis3 3 3" xfId="198" xr:uid="{00000000-0005-0000-0000-000028000000}"/>
    <cellStyle name="20% - Énfasis3 4" xfId="166" xr:uid="{00000000-0005-0000-0000-000029000000}"/>
    <cellStyle name="20% - Énfasis4" xfId="33" builtinId="42" customBuiltin="1"/>
    <cellStyle name="20% - Énfasis4 2" xfId="56" xr:uid="{00000000-0005-0000-0000-00002B000000}"/>
    <cellStyle name="20% - Énfasis4 2 2" xfId="93" xr:uid="{00000000-0005-0000-0000-00002C000000}"/>
    <cellStyle name="20% - Énfasis4 2 2 2" xfId="118" xr:uid="{00000000-0005-0000-0000-00002D000000}"/>
    <cellStyle name="20% - Énfasis4 2 2 2 2" xfId="238" xr:uid="{00000000-0005-0000-0000-00002E000000}"/>
    <cellStyle name="20% - Énfasis4 2 2 3" xfId="215" xr:uid="{00000000-0005-0000-0000-00002F000000}"/>
    <cellStyle name="20% - Énfasis4 2 3" xfId="117" xr:uid="{00000000-0005-0000-0000-000030000000}"/>
    <cellStyle name="20% - Énfasis4 2 3 2" xfId="237" xr:uid="{00000000-0005-0000-0000-000031000000}"/>
    <cellStyle name="20% - Énfasis4 2 4" xfId="183" xr:uid="{00000000-0005-0000-0000-000032000000}"/>
    <cellStyle name="20% - Énfasis4 3" xfId="77" xr:uid="{00000000-0005-0000-0000-000033000000}"/>
    <cellStyle name="20% - Énfasis4 3 2" xfId="119" xr:uid="{00000000-0005-0000-0000-000034000000}"/>
    <cellStyle name="20% - Énfasis4 3 2 2" xfId="239" xr:uid="{00000000-0005-0000-0000-000035000000}"/>
    <cellStyle name="20% - Énfasis4 3 3" xfId="200" xr:uid="{00000000-0005-0000-0000-000036000000}"/>
    <cellStyle name="20% - Énfasis4 4" xfId="168" xr:uid="{00000000-0005-0000-0000-000037000000}"/>
    <cellStyle name="20% - Énfasis5" xfId="37" builtinId="46" customBuiltin="1"/>
    <cellStyle name="20% - Énfasis5 2" xfId="58" xr:uid="{00000000-0005-0000-0000-000039000000}"/>
    <cellStyle name="20% - Énfasis5 2 2" xfId="95" xr:uid="{00000000-0005-0000-0000-00003A000000}"/>
    <cellStyle name="20% - Énfasis5 2 2 2" xfId="121" xr:uid="{00000000-0005-0000-0000-00003B000000}"/>
    <cellStyle name="20% - Énfasis5 2 2 2 2" xfId="241" xr:uid="{00000000-0005-0000-0000-00003C000000}"/>
    <cellStyle name="20% - Énfasis5 2 2 3" xfId="217" xr:uid="{00000000-0005-0000-0000-00003D000000}"/>
    <cellStyle name="20% - Énfasis5 2 3" xfId="120" xr:uid="{00000000-0005-0000-0000-00003E000000}"/>
    <cellStyle name="20% - Énfasis5 2 3 2" xfId="240" xr:uid="{00000000-0005-0000-0000-00003F000000}"/>
    <cellStyle name="20% - Énfasis5 2 4" xfId="185" xr:uid="{00000000-0005-0000-0000-000040000000}"/>
    <cellStyle name="20% - Énfasis5 3" xfId="79" xr:uid="{00000000-0005-0000-0000-000041000000}"/>
    <cellStyle name="20% - Énfasis5 3 2" xfId="122" xr:uid="{00000000-0005-0000-0000-000042000000}"/>
    <cellStyle name="20% - Énfasis5 3 2 2" xfId="242" xr:uid="{00000000-0005-0000-0000-000043000000}"/>
    <cellStyle name="20% - Énfasis5 3 3" xfId="202" xr:uid="{00000000-0005-0000-0000-000044000000}"/>
    <cellStyle name="20% - Énfasis5 4" xfId="170" xr:uid="{00000000-0005-0000-0000-000045000000}"/>
    <cellStyle name="20% - Énfasis6" xfId="41" builtinId="50" customBuiltin="1"/>
    <cellStyle name="20% - Énfasis6 2" xfId="60" xr:uid="{00000000-0005-0000-0000-000047000000}"/>
    <cellStyle name="20% - Énfasis6 2 2" xfId="97" xr:uid="{00000000-0005-0000-0000-000048000000}"/>
    <cellStyle name="20% - Énfasis6 2 2 2" xfId="124" xr:uid="{00000000-0005-0000-0000-000049000000}"/>
    <cellStyle name="20% - Énfasis6 2 2 2 2" xfId="244" xr:uid="{00000000-0005-0000-0000-00004A000000}"/>
    <cellStyle name="20% - Énfasis6 2 2 3" xfId="219" xr:uid="{00000000-0005-0000-0000-00004B000000}"/>
    <cellStyle name="20% - Énfasis6 2 3" xfId="123" xr:uid="{00000000-0005-0000-0000-00004C000000}"/>
    <cellStyle name="20% - Énfasis6 2 3 2" xfId="243" xr:uid="{00000000-0005-0000-0000-00004D000000}"/>
    <cellStyle name="20% - Énfasis6 2 4" xfId="187" xr:uid="{00000000-0005-0000-0000-00004E000000}"/>
    <cellStyle name="20% - Énfasis6 3" xfId="81" xr:uid="{00000000-0005-0000-0000-00004F000000}"/>
    <cellStyle name="20% - Énfasis6 3 2" xfId="125" xr:uid="{00000000-0005-0000-0000-000050000000}"/>
    <cellStyle name="20% - Énfasis6 3 2 2" xfId="245" xr:uid="{00000000-0005-0000-0000-000051000000}"/>
    <cellStyle name="20% - Énfasis6 3 3" xfId="204" xr:uid="{00000000-0005-0000-0000-000052000000}"/>
    <cellStyle name="20% - Énfasis6 4" xfId="172" xr:uid="{00000000-0005-0000-0000-000053000000}"/>
    <cellStyle name="40% - Énfasis1" xfId="22" builtinId="31" customBuiltin="1"/>
    <cellStyle name="40% - Énfasis1 2" xfId="51" xr:uid="{00000000-0005-0000-0000-000055000000}"/>
    <cellStyle name="40% - Énfasis1 2 2" xfId="88" xr:uid="{00000000-0005-0000-0000-000056000000}"/>
    <cellStyle name="40% - Énfasis1 2 2 2" xfId="127" xr:uid="{00000000-0005-0000-0000-000057000000}"/>
    <cellStyle name="40% - Énfasis1 2 2 2 2" xfId="247" xr:uid="{00000000-0005-0000-0000-000058000000}"/>
    <cellStyle name="40% - Énfasis1 2 2 3" xfId="210" xr:uid="{00000000-0005-0000-0000-000059000000}"/>
    <cellStyle name="40% - Énfasis1 2 3" xfId="126" xr:uid="{00000000-0005-0000-0000-00005A000000}"/>
    <cellStyle name="40% - Énfasis1 2 3 2" xfId="246" xr:uid="{00000000-0005-0000-0000-00005B000000}"/>
    <cellStyle name="40% - Énfasis1 2 4" xfId="178" xr:uid="{00000000-0005-0000-0000-00005C000000}"/>
    <cellStyle name="40% - Énfasis1 3" xfId="72" xr:uid="{00000000-0005-0000-0000-00005D000000}"/>
    <cellStyle name="40% - Énfasis1 3 2" xfId="128" xr:uid="{00000000-0005-0000-0000-00005E000000}"/>
    <cellStyle name="40% - Énfasis1 3 2 2" xfId="248" xr:uid="{00000000-0005-0000-0000-00005F000000}"/>
    <cellStyle name="40% - Énfasis1 3 3" xfId="195" xr:uid="{00000000-0005-0000-0000-000060000000}"/>
    <cellStyle name="40% - Énfasis1 4" xfId="163" xr:uid="{00000000-0005-0000-0000-000061000000}"/>
    <cellStyle name="40% - Énfasis2" xfId="26" builtinId="35" customBuiltin="1"/>
    <cellStyle name="40% - Énfasis2 2" xfId="53" xr:uid="{00000000-0005-0000-0000-000063000000}"/>
    <cellStyle name="40% - Énfasis2 2 2" xfId="90" xr:uid="{00000000-0005-0000-0000-000064000000}"/>
    <cellStyle name="40% - Énfasis2 2 2 2" xfId="130" xr:uid="{00000000-0005-0000-0000-000065000000}"/>
    <cellStyle name="40% - Énfasis2 2 2 2 2" xfId="250" xr:uid="{00000000-0005-0000-0000-000066000000}"/>
    <cellStyle name="40% - Énfasis2 2 2 3" xfId="212" xr:uid="{00000000-0005-0000-0000-000067000000}"/>
    <cellStyle name="40% - Énfasis2 2 3" xfId="129" xr:uid="{00000000-0005-0000-0000-000068000000}"/>
    <cellStyle name="40% - Énfasis2 2 3 2" xfId="249" xr:uid="{00000000-0005-0000-0000-000069000000}"/>
    <cellStyle name="40% - Énfasis2 2 4" xfId="180" xr:uid="{00000000-0005-0000-0000-00006A000000}"/>
    <cellStyle name="40% - Énfasis2 3" xfId="74" xr:uid="{00000000-0005-0000-0000-00006B000000}"/>
    <cellStyle name="40% - Énfasis2 3 2" xfId="131" xr:uid="{00000000-0005-0000-0000-00006C000000}"/>
    <cellStyle name="40% - Énfasis2 3 2 2" xfId="251" xr:uid="{00000000-0005-0000-0000-00006D000000}"/>
    <cellStyle name="40% - Énfasis2 3 3" xfId="197" xr:uid="{00000000-0005-0000-0000-00006E000000}"/>
    <cellStyle name="40% - Énfasis2 4" xfId="165" xr:uid="{00000000-0005-0000-0000-00006F000000}"/>
    <cellStyle name="40% - Énfasis3" xfId="30" builtinId="39" customBuiltin="1"/>
    <cellStyle name="40% - Énfasis3 2" xfId="55" xr:uid="{00000000-0005-0000-0000-000071000000}"/>
    <cellStyle name="40% - Énfasis3 2 2" xfId="92" xr:uid="{00000000-0005-0000-0000-000072000000}"/>
    <cellStyle name="40% - Énfasis3 2 2 2" xfId="133" xr:uid="{00000000-0005-0000-0000-000073000000}"/>
    <cellStyle name="40% - Énfasis3 2 2 2 2" xfId="253" xr:uid="{00000000-0005-0000-0000-000074000000}"/>
    <cellStyle name="40% - Énfasis3 2 2 3" xfId="214" xr:uid="{00000000-0005-0000-0000-000075000000}"/>
    <cellStyle name="40% - Énfasis3 2 3" xfId="132" xr:uid="{00000000-0005-0000-0000-000076000000}"/>
    <cellStyle name="40% - Énfasis3 2 3 2" xfId="252" xr:uid="{00000000-0005-0000-0000-000077000000}"/>
    <cellStyle name="40% - Énfasis3 2 4" xfId="182" xr:uid="{00000000-0005-0000-0000-000078000000}"/>
    <cellStyle name="40% - Énfasis3 3" xfId="76" xr:uid="{00000000-0005-0000-0000-000079000000}"/>
    <cellStyle name="40% - Énfasis3 3 2" xfId="134" xr:uid="{00000000-0005-0000-0000-00007A000000}"/>
    <cellStyle name="40% - Énfasis3 3 2 2" xfId="254" xr:uid="{00000000-0005-0000-0000-00007B000000}"/>
    <cellStyle name="40% - Énfasis3 3 3" xfId="199" xr:uid="{00000000-0005-0000-0000-00007C000000}"/>
    <cellStyle name="40% - Énfasis3 4" xfId="167" xr:uid="{00000000-0005-0000-0000-00007D000000}"/>
    <cellStyle name="40% - Énfasis4" xfId="34" builtinId="43" customBuiltin="1"/>
    <cellStyle name="40% - Énfasis4 2" xfId="57" xr:uid="{00000000-0005-0000-0000-00007F000000}"/>
    <cellStyle name="40% - Énfasis4 2 2" xfId="94" xr:uid="{00000000-0005-0000-0000-000080000000}"/>
    <cellStyle name="40% - Énfasis4 2 2 2" xfId="136" xr:uid="{00000000-0005-0000-0000-000081000000}"/>
    <cellStyle name="40% - Énfasis4 2 2 2 2" xfId="256" xr:uid="{00000000-0005-0000-0000-000082000000}"/>
    <cellStyle name="40% - Énfasis4 2 2 3" xfId="216" xr:uid="{00000000-0005-0000-0000-000083000000}"/>
    <cellStyle name="40% - Énfasis4 2 3" xfId="135" xr:uid="{00000000-0005-0000-0000-000084000000}"/>
    <cellStyle name="40% - Énfasis4 2 3 2" xfId="255" xr:uid="{00000000-0005-0000-0000-000085000000}"/>
    <cellStyle name="40% - Énfasis4 2 4" xfId="184" xr:uid="{00000000-0005-0000-0000-000086000000}"/>
    <cellStyle name="40% - Énfasis4 3" xfId="78" xr:uid="{00000000-0005-0000-0000-000087000000}"/>
    <cellStyle name="40% - Énfasis4 3 2" xfId="137" xr:uid="{00000000-0005-0000-0000-000088000000}"/>
    <cellStyle name="40% - Énfasis4 3 2 2" xfId="257" xr:uid="{00000000-0005-0000-0000-000089000000}"/>
    <cellStyle name="40% - Énfasis4 3 3" xfId="201" xr:uid="{00000000-0005-0000-0000-00008A000000}"/>
    <cellStyle name="40% - Énfasis4 4" xfId="169" xr:uid="{00000000-0005-0000-0000-00008B000000}"/>
    <cellStyle name="40% - Énfasis5" xfId="38" builtinId="47" customBuiltin="1"/>
    <cellStyle name="40% - Énfasis5 2" xfId="59" xr:uid="{00000000-0005-0000-0000-00008D000000}"/>
    <cellStyle name="40% - Énfasis5 2 2" xfId="96" xr:uid="{00000000-0005-0000-0000-00008E000000}"/>
    <cellStyle name="40% - Énfasis5 2 2 2" xfId="139" xr:uid="{00000000-0005-0000-0000-00008F000000}"/>
    <cellStyle name="40% - Énfasis5 2 2 2 2" xfId="259" xr:uid="{00000000-0005-0000-0000-000090000000}"/>
    <cellStyle name="40% - Énfasis5 2 2 3" xfId="218" xr:uid="{00000000-0005-0000-0000-000091000000}"/>
    <cellStyle name="40% - Énfasis5 2 3" xfId="138" xr:uid="{00000000-0005-0000-0000-000092000000}"/>
    <cellStyle name="40% - Énfasis5 2 3 2" xfId="258" xr:uid="{00000000-0005-0000-0000-000093000000}"/>
    <cellStyle name="40% - Énfasis5 2 4" xfId="186" xr:uid="{00000000-0005-0000-0000-000094000000}"/>
    <cellStyle name="40% - Énfasis5 3" xfId="80" xr:uid="{00000000-0005-0000-0000-000095000000}"/>
    <cellStyle name="40% - Énfasis5 3 2" xfId="140" xr:uid="{00000000-0005-0000-0000-000096000000}"/>
    <cellStyle name="40% - Énfasis5 3 2 2" xfId="260" xr:uid="{00000000-0005-0000-0000-000097000000}"/>
    <cellStyle name="40% - Énfasis5 3 3" xfId="203" xr:uid="{00000000-0005-0000-0000-000098000000}"/>
    <cellStyle name="40% - Énfasis5 4" xfId="171" xr:uid="{00000000-0005-0000-0000-000099000000}"/>
    <cellStyle name="40% - Énfasis6" xfId="42" builtinId="51" customBuiltin="1"/>
    <cellStyle name="40% - Énfasis6 2" xfId="61" xr:uid="{00000000-0005-0000-0000-00009B000000}"/>
    <cellStyle name="40% - Énfasis6 2 2" xfId="98" xr:uid="{00000000-0005-0000-0000-00009C000000}"/>
    <cellStyle name="40% - Énfasis6 2 2 2" xfId="142" xr:uid="{00000000-0005-0000-0000-00009D000000}"/>
    <cellStyle name="40% - Énfasis6 2 2 2 2" xfId="262" xr:uid="{00000000-0005-0000-0000-00009E000000}"/>
    <cellStyle name="40% - Énfasis6 2 2 3" xfId="220" xr:uid="{00000000-0005-0000-0000-00009F000000}"/>
    <cellStyle name="40% - Énfasis6 2 3" xfId="141" xr:uid="{00000000-0005-0000-0000-0000A0000000}"/>
    <cellStyle name="40% - Énfasis6 2 3 2" xfId="261" xr:uid="{00000000-0005-0000-0000-0000A1000000}"/>
    <cellStyle name="40% - Énfasis6 2 4" xfId="188" xr:uid="{00000000-0005-0000-0000-0000A2000000}"/>
    <cellStyle name="40% - Énfasis6 3" xfId="82" xr:uid="{00000000-0005-0000-0000-0000A3000000}"/>
    <cellStyle name="40% - Énfasis6 3 2" xfId="143" xr:uid="{00000000-0005-0000-0000-0000A4000000}"/>
    <cellStyle name="40% - Énfasis6 3 2 2" xfId="263" xr:uid="{00000000-0005-0000-0000-0000A5000000}"/>
    <cellStyle name="40% - Énfasis6 3 3" xfId="205" xr:uid="{00000000-0005-0000-0000-0000A6000000}"/>
    <cellStyle name="40% - Énfasis6 4" xfId="173" xr:uid="{00000000-0005-0000-0000-0000A7000000}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cf1" xfId="47" xr:uid="{00000000-0005-0000-0000-0000B2000000}"/>
    <cellStyle name="Encabezado 1" xfId="5" builtinId="16" customBuiltin="1"/>
    <cellStyle name="Encabezado 4" xfId="8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2" builtinId="20" customBuiltin="1"/>
    <cellStyle name="Euro" xfId="1" xr:uid="{00000000-0005-0000-0000-0000BB000000}"/>
    <cellStyle name="Euro 2" xfId="48" xr:uid="{00000000-0005-0000-0000-0000BC000000}"/>
    <cellStyle name="Incorrecto" xfId="10" builtinId="27" customBuiltin="1"/>
    <cellStyle name="Millares" xfId="107" builtinId="3"/>
    <cellStyle name="Millares [0]" xfId="2" builtinId="6"/>
    <cellStyle name="Millares 2" xfId="67" xr:uid="{00000000-0005-0000-0000-0000C0000000}"/>
    <cellStyle name="Moneda" xfId="281" builtinId="4"/>
    <cellStyle name="Moneda 2" xfId="68" xr:uid="{00000000-0005-0000-0000-0000C2000000}"/>
    <cellStyle name="Moneda 3" xfId="69" xr:uid="{00000000-0005-0000-0000-0000C3000000}"/>
    <cellStyle name="Moneda 3 2" xfId="103" xr:uid="{00000000-0005-0000-0000-0000C4000000}"/>
    <cellStyle name="Moneda 3 2 2" xfId="145" xr:uid="{00000000-0005-0000-0000-0000C5000000}"/>
    <cellStyle name="Moneda 3 2 2 2" xfId="265" xr:uid="{00000000-0005-0000-0000-0000C6000000}"/>
    <cellStyle name="Moneda 3 2 3" xfId="224" xr:uid="{00000000-0005-0000-0000-0000C7000000}"/>
    <cellStyle name="Moneda 3 3" xfId="144" xr:uid="{00000000-0005-0000-0000-0000C8000000}"/>
    <cellStyle name="Moneda 3 3 2" xfId="264" xr:uid="{00000000-0005-0000-0000-0000C9000000}"/>
    <cellStyle name="Moneda 3 4" xfId="192" xr:uid="{00000000-0005-0000-0000-0000CA000000}"/>
    <cellStyle name="Moneda 4" xfId="102" xr:uid="{00000000-0005-0000-0000-0000CB000000}"/>
    <cellStyle name="Moneda 4 2" xfId="146" xr:uid="{00000000-0005-0000-0000-0000CC000000}"/>
    <cellStyle name="Neutral" xfId="11" builtinId="28" customBuiltin="1"/>
    <cellStyle name="Normal" xfId="0" builtinId="0"/>
    <cellStyle name="Normal 2" xfId="44" xr:uid="{00000000-0005-0000-0000-0000CF000000}"/>
    <cellStyle name="Normal 2 2" xfId="62" xr:uid="{00000000-0005-0000-0000-0000D0000000}"/>
    <cellStyle name="Normal 2 2 2" xfId="99" xr:uid="{00000000-0005-0000-0000-0000D1000000}"/>
    <cellStyle name="Normal 2 2 2 2" xfId="149" xr:uid="{00000000-0005-0000-0000-0000D2000000}"/>
    <cellStyle name="Normal 2 2 2 2 2" xfId="268" xr:uid="{00000000-0005-0000-0000-0000D3000000}"/>
    <cellStyle name="Normal 2 2 2 3" xfId="221" xr:uid="{00000000-0005-0000-0000-0000D4000000}"/>
    <cellStyle name="Normal 2 2 3" xfId="148" xr:uid="{00000000-0005-0000-0000-0000D5000000}"/>
    <cellStyle name="Normal 2 2 3 2" xfId="267" xr:uid="{00000000-0005-0000-0000-0000D6000000}"/>
    <cellStyle name="Normal 2 2 4" xfId="189" xr:uid="{00000000-0005-0000-0000-0000D7000000}"/>
    <cellStyle name="Normal 2 3" xfId="83" xr:uid="{00000000-0005-0000-0000-0000D8000000}"/>
    <cellStyle name="Normal 2 3 2" xfId="150" xr:uid="{00000000-0005-0000-0000-0000D9000000}"/>
    <cellStyle name="Normal 2 3 2 2" xfId="269" xr:uid="{00000000-0005-0000-0000-0000DA000000}"/>
    <cellStyle name="Normal 2 3 3" xfId="206" xr:uid="{00000000-0005-0000-0000-0000DB000000}"/>
    <cellStyle name="Normal 2 4" xfId="147" xr:uid="{00000000-0005-0000-0000-0000DC000000}"/>
    <cellStyle name="Normal 2 4 2" xfId="266" xr:uid="{00000000-0005-0000-0000-0000DD000000}"/>
    <cellStyle name="Normal 2 5" xfId="174" xr:uid="{00000000-0005-0000-0000-0000DE000000}"/>
    <cellStyle name="Normal 3" xfId="46" xr:uid="{00000000-0005-0000-0000-0000DF000000}"/>
    <cellStyle name="Normal 3 2" xfId="85" xr:uid="{00000000-0005-0000-0000-0000E0000000}"/>
    <cellStyle name="Normal 4" xfId="49" xr:uid="{00000000-0005-0000-0000-0000E1000000}"/>
    <cellStyle name="Normal 4 2" xfId="64" xr:uid="{00000000-0005-0000-0000-0000E2000000}"/>
    <cellStyle name="Normal 4 2 2" xfId="101" xr:uid="{00000000-0005-0000-0000-0000E3000000}"/>
    <cellStyle name="Normal 4 2 2 2" xfId="153" xr:uid="{00000000-0005-0000-0000-0000E4000000}"/>
    <cellStyle name="Normal 4 2 2 2 2" xfId="272" xr:uid="{00000000-0005-0000-0000-0000E5000000}"/>
    <cellStyle name="Normal 4 2 2 3" xfId="223" xr:uid="{00000000-0005-0000-0000-0000E6000000}"/>
    <cellStyle name="Normal 4 2 3" xfId="152" xr:uid="{00000000-0005-0000-0000-0000E7000000}"/>
    <cellStyle name="Normal 4 2 3 2" xfId="271" xr:uid="{00000000-0005-0000-0000-0000E8000000}"/>
    <cellStyle name="Normal 4 2 4" xfId="191" xr:uid="{00000000-0005-0000-0000-0000E9000000}"/>
    <cellStyle name="Normal 4 3" xfId="86" xr:uid="{00000000-0005-0000-0000-0000EA000000}"/>
    <cellStyle name="Normal 4 3 2" xfId="154" xr:uid="{00000000-0005-0000-0000-0000EB000000}"/>
    <cellStyle name="Normal 4 3 2 2" xfId="273" xr:uid="{00000000-0005-0000-0000-0000EC000000}"/>
    <cellStyle name="Normal 4 3 3" xfId="208" xr:uid="{00000000-0005-0000-0000-0000ED000000}"/>
    <cellStyle name="Normal 4 4" xfId="151" xr:uid="{00000000-0005-0000-0000-0000EE000000}"/>
    <cellStyle name="Normal 4 4 2" xfId="270" xr:uid="{00000000-0005-0000-0000-0000EF000000}"/>
    <cellStyle name="Normal 4 5" xfId="176" xr:uid="{00000000-0005-0000-0000-0000F0000000}"/>
    <cellStyle name="Normal 5" xfId="65" xr:uid="{00000000-0005-0000-0000-0000F1000000}"/>
    <cellStyle name="Normal 6" xfId="70" xr:uid="{00000000-0005-0000-0000-0000F2000000}"/>
    <cellStyle name="Normal 6 2" xfId="104" xr:uid="{00000000-0005-0000-0000-0000F3000000}"/>
    <cellStyle name="Normal 6 2 2" xfId="156" xr:uid="{00000000-0005-0000-0000-0000F4000000}"/>
    <cellStyle name="Normal 6 2 2 2" xfId="275" xr:uid="{00000000-0005-0000-0000-0000F5000000}"/>
    <cellStyle name="Normal 6 2 3" xfId="225" xr:uid="{00000000-0005-0000-0000-0000F6000000}"/>
    <cellStyle name="Normal 6 3" xfId="155" xr:uid="{00000000-0005-0000-0000-0000F7000000}"/>
    <cellStyle name="Normal 6 3 2" xfId="274" xr:uid="{00000000-0005-0000-0000-0000F8000000}"/>
    <cellStyle name="Normal 6 4" xfId="193" xr:uid="{00000000-0005-0000-0000-0000F9000000}"/>
    <cellStyle name="Normal 7" xfId="105" xr:uid="{00000000-0005-0000-0000-0000FA000000}"/>
    <cellStyle name="Normal 7 2" xfId="157" xr:uid="{00000000-0005-0000-0000-0000FB000000}"/>
    <cellStyle name="Normal 7 2 2" xfId="276" xr:uid="{00000000-0005-0000-0000-0000FC000000}"/>
    <cellStyle name="Normal 7 3" xfId="226" xr:uid="{00000000-0005-0000-0000-0000FD000000}"/>
    <cellStyle name="Normal 8" xfId="106" xr:uid="{00000000-0005-0000-0000-0000FE000000}"/>
    <cellStyle name="Normal 8 2" xfId="227" xr:uid="{00000000-0005-0000-0000-0000FF000000}"/>
    <cellStyle name="Normal_Hoja2" xfId="66" xr:uid="{00000000-0005-0000-0000-000002010000}"/>
    <cellStyle name="Notas 2" xfId="45" xr:uid="{00000000-0005-0000-0000-000003010000}"/>
    <cellStyle name="Notas 2 2" xfId="63" xr:uid="{00000000-0005-0000-0000-000004010000}"/>
    <cellStyle name="Notas 2 2 2" xfId="100" xr:uid="{00000000-0005-0000-0000-000005010000}"/>
    <cellStyle name="Notas 2 2 2 2" xfId="160" xr:uid="{00000000-0005-0000-0000-000006010000}"/>
    <cellStyle name="Notas 2 2 2 2 2" xfId="279" xr:uid="{00000000-0005-0000-0000-000007010000}"/>
    <cellStyle name="Notas 2 2 2 3" xfId="222" xr:uid="{00000000-0005-0000-0000-000008010000}"/>
    <cellStyle name="Notas 2 2 3" xfId="159" xr:uid="{00000000-0005-0000-0000-000009010000}"/>
    <cellStyle name="Notas 2 2 3 2" xfId="278" xr:uid="{00000000-0005-0000-0000-00000A010000}"/>
    <cellStyle name="Notas 2 2 4" xfId="190" xr:uid="{00000000-0005-0000-0000-00000B010000}"/>
    <cellStyle name="Notas 2 3" xfId="84" xr:uid="{00000000-0005-0000-0000-00000C010000}"/>
    <cellStyle name="Notas 2 3 2" xfId="161" xr:uid="{00000000-0005-0000-0000-00000D010000}"/>
    <cellStyle name="Notas 2 3 2 2" xfId="280" xr:uid="{00000000-0005-0000-0000-00000E010000}"/>
    <cellStyle name="Notas 2 3 3" xfId="207" xr:uid="{00000000-0005-0000-0000-00000F010000}"/>
    <cellStyle name="Notas 2 4" xfId="158" xr:uid="{00000000-0005-0000-0000-000010010000}"/>
    <cellStyle name="Notas 2 4 2" xfId="277" xr:uid="{00000000-0005-0000-0000-000011010000}"/>
    <cellStyle name="Notas 2 5" xfId="175" xr:uid="{00000000-0005-0000-0000-000012010000}"/>
    <cellStyle name="Porcentaje" xfId="3" builtinId="5"/>
    <cellStyle name="Salida" xfId="13" builtinId="21" customBuiltin="1"/>
    <cellStyle name="Texto de advertencia" xfId="17" builtinId="11" customBuiltin="1"/>
    <cellStyle name="Texto explicativo" xfId="18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19" builtinId="25" customBuiltin="1"/>
  </cellStyles>
  <dxfs count="4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00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2</xdr:row>
      <xdr:rowOff>95250</xdr:rowOff>
    </xdr:from>
    <xdr:to>
      <xdr:col>16</xdr:col>
      <xdr:colOff>0</xdr:colOff>
      <xdr:row>43</xdr:row>
      <xdr:rowOff>19050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809750" y="419100"/>
          <a:ext cx="10382250" cy="67246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600">
              <a:solidFill>
                <a:schemeClr val="accent3">
                  <a:lumMod val="50000"/>
                </a:schemeClr>
              </a:solidFill>
            </a:rPr>
            <a:t>Ingresos:</a:t>
          </a:r>
        </a:p>
        <a:p>
          <a:r>
            <a:rPr lang="es-ES" sz="1100">
              <a:solidFill>
                <a:schemeClr val="accent3">
                  <a:lumMod val="50000"/>
                </a:schemeClr>
              </a:solidFill>
            </a:rPr>
            <a:t>- adjfaldfklasd</a:t>
          </a:r>
        </a:p>
        <a:p>
          <a:r>
            <a:rPr lang="es-ES" sz="1100">
              <a:solidFill>
                <a:schemeClr val="accent3">
                  <a:lumMod val="50000"/>
                </a:schemeClr>
              </a:solidFill>
            </a:rPr>
            <a:t>-</a:t>
          </a:r>
        </a:p>
        <a:p>
          <a:endParaRPr lang="es-ES" sz="1600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2</xdr:row>
      <xdr:rowOff>95250</xdr:rowOff>
    </xdr:from>
    <xdr:to>
      <xdr:col>16</xdr:col>
      <xdr:colOff>0</xdr:colOff>
      <xdr:row>43</xdr:row>
      <xdr:rowOff>19050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809750" y="419100"/>
          <a:ext cx="10382250" cy="67246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600" b="1">
              <a:solidFill>
                <a:srgbClr val="FF0000"/>
              </a:solidFill>
            </a:rPr>
            <a:t>GASTOS</a:t>
          </a:r>
          <a:r>
            <a:rPr lang="es-ES" sz="1600">
              <a:solidFill>
                <a:srgbClr val="FF0000"/>
              </a:solidFill>
            </a:rPr>
            <a:t>:</a:t>
          </a:r>
        </a:p>
        <a:p>
          <a:r>
            <a:rPr lang="es-ES" sz="1100">
              <a:solidFill>
                <a:srgbClr val="FF0000"/>
              </a:solidFill>
            </a:rPr>
            <a:t>-</a:t>
          </a:r>
        </a:p>
        <a:p>
          <a:endParaRPr lang="es-ES" sz="1600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fitToPage="1"/>
  </sheetPr>
  <dimension ref="A1:K154"/>
  <sheetViews>
    <sheetView tabSelected="1" topLeftCell="A60" workbookViewId="0">
      <selection activeCell="F150" sqref="F150"/>
    </sheetView>
  </sheetViews>
  <sheetFormatPr defaultColWidth="11.42578125" defaultRowHeight="15.75"/>
  <cols>
    <col min="4" max="4" width="13.7109375" customWidth="1"/>
    <col min="5" max="5" width="15.28515625" style="6" customWidth="1"/>
    <col min="6" max="6" width="19" style="5" customWidth="1"/>
    <col min="7" max="7" width="17.85546875" style="5" hidden="1" customWidth="1"/>
    <col min="8" max="8" width="18.85546875" style="5" hidden="1" customWidth="1"/>
    <col min="9" max="9" width="9.85546875" style="5" hidden="1" customWidth="1"/>
    <col min="10" max="10" width="14.42578125" bestFit="1" customWidth="1"/>
    <col min="11" max="11" width="16.85546875" bestFit="1" customWidth="1"/>
  </cols>
  <sheetData>
    <row r="1" spans="1:10" ht="20.25" customHeight="1">
      <c r="A1" s="2"/>
      <c r="F1" s="45" t="s">
        <v>0</v>
      </c>
      <c r="G1" s="45" t="s">
        <v>1</v>
      </c>
      <c r="H1" s="45" t="s">
        <v>2</v>
      </c>
      <c r="I1" s="44" t="s">
        <v>3</v>
      </c>
    </row>
    <row r="2" spans="1:10" s="63" customFormat="1" ht="16.5">
      <c r="A2" s="58" t="s">
        <v>4</v>
      </c>
      <c r="B2" s="59"/>
      <c r="C2" s="59"/>
      <c r="D2" s="59"/>
      <c r="E2" s="60"/>
      <c r="F2" s="61">
        <f>+F6+F10+F4+F12+F8</f>
        <v>0</v>
      </c>
      <c r="G2" s="61">
        <f t="shared" ref="G2:H2" si="0">+G6+G10+G4+G12+G8</f>
        <v>0</v>
      </c>
      <c r="H2" s="61">
        <f t="shared" si="0"/>
        <v>0</v>
      </c>
      <c r="I2" s="62" t="str">
        <f>IF(F2=0,"S/P",+H2/F2)</f>
        <v>S/P</v>
      </c>
    </row>
    <row r="3" spans="1:10" ht="10.5" customHeight="1">
      <c r="E3"/>
      <c r="F3" s="43"/>
      <c r="G3" s="46"/>
      <c r="H3" s="46"/>
      <c r="I3" s="47"/>
    </row>
    <row r="4" spans="1:10" s="12" customFormat="1" ht="12.75">
      <c r="A4" s="341" t="s">
        <v>5</v>
      </c>
      <c r="B4" s="341"/>
      <c r="C4" s="341"/>
      <c r="D4" s="341"/>
      <c r="E4" s="342"/>
      <c r="F4" s="343">
        <f>+'Centro 1'!F4+'Centro 2'!F4+'Centro 3'!F4+'Centro 4'!F4+'Centro 5'!F4</f>
        <v>0</v>
      </c>
      <c r="G4" s="343">
        <f>+'Centro 1'!G4+'Centro 2'!G4+'Centro 3'!G4+'Centro 4'!G4</f>
        <v>0</v>
      </c>
      <c r="H4" s="343">
        <f>+G4-F4</f>
        <v>0</v>
      </c>
      <c r="I4" s="344" t="str">
        <f>IF(F4=0,"S/P",+H4/F4)</f>
        <v>S/P</v>
      </c>
      <c r="J4" s="170"/>
    </row>
    <row r="5" spans="1:10" ht="15" customHeight="1">
      <c r="B5" s="25" t="s">
        <v>6</v>
      </c>
      <c r="E5" s="46"/>
      <c r="F5" s="43"/>
      <c r="G5" s="46"/>
      <c r="H5" s="46"/>
      <c r="I5" s="47"/>
    </row>
    <row r="6" spans="1:10" s="12" customFormat="1" ht="12.75">
      <c r="A6" s="341" t="s">
        <v>7</v>
      </c>
      <c r="B6" s="341"/>
      <c r="C6" s="341"/>
      <c r="D6" s="341"/>
      <c r="E6" s="342"/>
      <c r="F6" s="343">
        <f>+'Centro 1'!F6+'Centro 2'!F6+'Centro 3'!F6+'Centro 4'!F6+'Centro 5'!F6</f>
        <v>0</v>
      </c>
      <c r="G6" s="343">
        <f>+'Centro 1'!G6+'Centro 2'!G6+'Centro 3'!G6+'Centro 4'!G6</f>
        <v>0</v>
      </c>
      <c r="H6" s="343">
        <f>+G6-F6</f>
        <v>0</v>
      </c>
      <c r="I6" s="344" t="str">
        <f>IF(F6=0,"S/P",+H6/F6)</f>
        <v>S/P</v>
      </c>
      <c r="J6" s="345"/>
    </row>
    <row r="7" spans="1:10" ht="15" customHeight="1">
      <c r="B7" s="25" t="s">
        <v>8</v>
      </c>
      <c r="E7" s="40"/>
      <c r="F7" s="346"/>
      <c r="G7" s="40"/>
      <c r="H7" s="40"/>
      <c r="I7" s="148"/>
    </row>
    <row r="8" spans="1:10" s="12" customFormat="1" ht="12.75" hidden="1">
      <c r="A8" s="341" t="s">
        <v>9</v>
      </c>
      <c r="B8" s="341"/>
      <c r="C8" s="341"/>
      <c r="D8" s="341"/>
      <c r="E8" s="342"/>
      <c r="F8" s="343">
        <f>+'Centro 1'!F9+'Centro 2'!F9+'Centro 3'!F9+'Centro 4'!F9+'Centro 5'!F9</f>
        <v>0</v>
      </c>
      <c r="G8" s="343">
        <f>+'Centro 1'!G9+'Centro 2'!G9+'Centro 3'!G9+'Centro 4'!G9</f>
        <v>0</v>
      </c>
      <c r="H8" s="343">
        <f>+G8-F8</f>
        <v>0</v>
      </c>
      <c r="I8" s="344" t="str">
        <f>IF(F8=0,"S/P",+H8/F8)</f>
        <v>S/P</v>
      </c>
      <c r="J8" s="170"/>
    </row>
    <row r="9" spans="1:10" ht="15" hidden="1" customHeight="1">
      <c r="B9" s="25" t="s">
        <v>10</v>
      </c>
      <c r="E9" s="46"/>
      <c r="F9" s="43"/>
      <c r="G9" s="46"/>
      <c r="H9" s="46"/>
      <c r="I9" s="47"/>
    </row>
    <row r="10" spans="1:10" s="12" customFormat="1" ht="12.75">
      <c r="A10" s="341" t="s">
        <v>11</v>
      </c>
      <c r="B10" s="341"/>
      <c r="C10" s="341"/>
      <c r="D10" s="341"/>
      <c r="E10" s="342"/>
      <c r="F10" s="343">
        <f>+'Centro 1'!F11+'Centro 2'!F11+'Centro 3'!F11+'Centro 4'!F11+'Centro 5'!F11</f>
        <v>0</v>
      </c>
      <c r="G10" s="343">
        <f>+'Centro 1'!G11+'Centro 2'!G11+'Centro 3'!G11+'Centro 4'!G11</f>
        <v>0</v>
      </c>
      <c r="H10" s="343">
        <f>+G10-F10</f>
        <v>0</v>
      </c>
      <c r="I10" s="344" t="str">
        <f>IF(F10=0,"S/P",+H10/F10)</f>
        <v>S/P</v>
      </c>
      <c r="J10" s="170"/>
    </row>
    <row r="11" spans="1:10" s="64" customFormat="1" ht="15" customHeight="1">
      <c r="A11" s="15"/>
      <c r="B11" s="25" t="s">
        <v>12</v>
      </c>
      <c r="C11" s="15"/>
      <c r="D11" s="15"/>
      <c r="E11" s="40"/>
      <c r="F11" s="347"/>
      <c r="G11" s="40"/>
      <c r="H11" s="40"/>
      <c r="I11" s="148"/>
      <c r="J11" s="15"/>
    </row>
    <row r="12" spans="1:10" s="12" customFormat="1" ht="12.75" hidden="1">
      <c r="A12" s="341" t="s">
        <v>13</v>
      </c>
      <c r="B12" s="341"/>
      <c r="C12" s="341"/>
      <c r="D12" s="341"/>
      <c r="E12" s="342"/>
      <c r="F12" s="343">
        <f>+'Centro 1'!F23+'Centro 2'!F23+'Centro 3'!F23+'Centro 4'!F23+'Centro 5'!F23</f>
        <v>0</v>
      </c>
      <c r="G12" s="343">
        <f>+'Centro 1'!G23+'Centro 2'!G23+'Centro 3'!G23+'Centro 4'!G23</f>
        <v>0</v>
      </c>
      <c r="H12" s="343">
        <f>+G12-F12</f>
        <v>0</v>
      </c>
      <c r="I12" s="344" t="str">
        <f>IF(F12=0,"S/P",+H12/F12)</f>
        <v>S/P</v>
      </c>
      <c r="J12" s="170"/>
    </row>
    <row r="13" spans="1:10" s="64" customFormat="1" ht="15" hidden="1" customHeight="1">
      <c r="A13" s="15"/>
      <c r="B13" s="25" t="s">
        <v>14</v>
      </c>
      <c r="C13" s="15"/>
      <c r="D13" s="15"/>
      <c r="E13" s="46"/>
      <c r="F13" s="153"/>
      <c r="G13" s="46"/>
      <c r="H13" s="46"/>
      <c r="I13" s="47"/>
      <c r="J13" s="15"/>
    </row>
    <row r="14" spans="1:10" s="63" customFormat="1" ht="16.5">
      <c r="A14" s="58" t="s">
        <v>15</v>
      </c>
      <c r="B14" s="59"/>
      <c r="C14" s="59"/>
      <c r="D14" s="59"/>
      <c r="E14" s="60"/>
      <c r="F14" s="61">
        <f>+F16+F18</f>
        <v>0</v>
      </c>
      <c r="G14" s="61">
        <f t="shared" ref="G14:H14" si="1">+G16+G18</f>
        <v>0</v>
      </c>
      <c r="H14" s="61">
        <f t="shared" si="1"/>
        <v>0</v>
      </c>
      <c r="I14" s="62" t="str">
        <f>IF(F14=0,"S/P",+H14/F14)</f>
        <v>S/P</v>
      </c>
    </row>
    <row r="15" spans="1:10" ht="10.5" customHeight="1">
      <c r="E15"/>
      <c r="F15" s="43"/>
      <c r="G15" s="46"/>
      <c r="H15" s="46"/>
      <c r="I15" s="47"/>
    </row>
    <row r="16" spans="1:10" s="12" customFormat="1" ht="12.75">
      <c r="A16" s="341" t="s">
        <v>16</v>
      </c>
      <c r="B16" s="341"/>
      <c r="C16" s="341"/>
      <c r="D16" s="341"/>
      <c r="E16" s="342"/>
      <c r="F16" s="343">
        <f>+'Centro 1'!F27+'Centro 2'!F27+'Centro 3'!F27+'Centro 4'!F27+'Centro 5'!F27</f>
        <v>0</v>
      </c>
      <c r="G16" s="343">
        <f>+'Centro 1'!G27+'Centro 2'!G27+'Centro 3'!G27+'Centro 4'!G27</f>
        <v>0</v>
      </c>
      <c r="H16" s="343">
        <f>+G16-F16</f>
        <v>0</v>
      </c>
      <c r="I16" s="344" t="str">
        <f>IF(F16=0,"S/P",+H16/F16)</f>
        <v>S/P</v>
      </c>
      <c r="J16" s="170"/>
    </row>
    <row r="17" spans="1:9" ht="15" customHeight="1">
      <c r="B17" s="25" t="s">
        <v>17</v>
      </c>
      <c r="E17" s="40"/>
      <c r="F17" s="346"/>
      <c r="G17" s="40"/>
      <c r="H17" s="40"/>
      <c r="I17" s="148"/>
    </row>
    <row r="18" spans="1:9" s="12" customFormat="1" ht="12.75">
      <c r="A18" s="341" t="s">
        <v>18</v>
      </c>
      <c r="B18" s="341"/>
      <c r="C18" s="341"/>
      <c r="D18" s="341"/>
      <c r="E18" s="342"/>
      <c r="F18" s="343">
        <f>+'Centro 1'!F33+'Centro 2'!F33+'Centro 3'!F33+'Centro 4'!F33+'Centro 5'!F33</f>
        <v>0</v>
      </c>
      <c r="G18" s="343">
        <f>+'Centro 1'!G33+'Centro 2'!G33+'Centro 3'!G33+'Centro 4'!G33</f>
        <v>0</v>
      </c>
      <c r="H18" s="343">
        <f>+G18-F18</f>
        <v>0</v>
      </c>
      <c r="I18" s="344" t="str">
        <f>IF(F18=0,"S/P",+H18/F18)</f>
        <v>S/P</v>
      </c>
    </row>
    <row r="19" spans="1:9" ht="15" customHeight="1">
      <c r="B19" s="25" t="s">
        <v>19</v>
      </c>
      <c r="E19" s="40"/>
      <c r="F19" s="346"/>
      <c r="G19" s="40"/>
      <c r="H19" s="40"/>
      <c r="I19" s="148"/>
    </row>
    <row r="20" spans="1:9" s="63" customFormat="1" ht="16.5">
      <c r="A20" s="65" t="s">
        <v>20</v>
      </c>
      <c r="B20" s="66"/>
      <c r="C20" s="66"/>
      <c r="D20" s="66"/>
      <c r="E20" s="67"/>
      <c r="F20" s="68">
        <f>+SUM(F22:F29)</f>
        <v>0</v>
      </c>
      <c r="G20" s="68">
        <f>+SUM(G21:G29)</f>
        <v>0</v>
      </c>
      <c r="H20" s="68">
        <f>+SUM(H21:H29)</f>
        <v>0</v>
      </c>
      <c r="I20" s="69" t="str">
        <f>IF(F20=0,"S/P",+H20/F20)</f>
        <v>S/P</v>
      </c>
    </row>
    <row r="21" spans="1:9" s="63" customFormat="1" ht="9.75" customHeight="1"/>
    <row r="22" spans="1:9" s="12" customFormat="1" ht="12.75">
      <c r="A22" s="70" t="s">
        <v>21</v>
      </c>
      <c r="B22" s="70"/>
      <c r="C22" s="70"/>
      <c r="D22" s="70"/>
      <c r="E22" s="71"/>
      <c r="F22" s="72">
        <f>+'Centro 1'!F40+'Centro 2'!F41+'Centro 3'!F40+'Centro 4'!F40+'Centro 5'!F40</f>
        <v>0</v>
      </c>
      <c r="G22" s="72">
        <f>+'Centro 1'!G40+'Centro 2'!G41+'Centro 3'!G40+'Centro 4'!G40</f>
        <v>0</v>
      </c>
      <c r="H22" s="72">
        <f>+G22-F22</f>
        <v>0</v>
      </c>
      <c r="I22" s="73" t="str">
        <f>IF(F22=0,"S/P",+H22/F22)</f>
        <v>S/P</v>
      </c>
    </row>
    <row r="23" spans="1:9" ht="12.75" customHeight="1">
      <c r="A23" s="74"/>
      <c r="B23" s="75" t="s">
        <v>22</v>
      </c>
      <c r="C23" s="74"/>
      <c r="D23" s="74"/>
      <c r="E23" s="76"/>
      <c r="F23" s="77"/>
      <c r="G23" s="78"/>
      <c r="H23" s="78"/>
      <c r="I23" s="78"/>
    </row>
    <row r="24" spans="1:9" s="12" customFormat="1" ht="12.75" hidden="1">
      <c r="A24" s="70" t="s">
        <v>23</v>
      </c>
      <c r="B24" s="70"/>
      <c r="C24" s="70"/>
      <c r="D24" s="70"/>
      <c r="E24" s="71"/>
      <c r="F24" s="72">
        <f>+'Centro 1'!F42+'Centro 2'!F43+'Centro 3'!F42+'Centro 4'!F42+'Centro 5'!F42</f>
        <v>0</v>
      </c>
      <c r="G24" s="72">
        <f>+'Centro 1'!G42+'Centro 2'!G43+'Centro 3'!G42+'Centro 4'!G42</f>
        <v>0</v>
      </c>
      <c r="H24" s="72">
        <f>+G24-F24</f>
        <v>0</v>
      </c>
      <c r="I24" s="73" t="str">
        <f>IF(F24=0,"S/P",+H24/F24)</f>
        <v>S/P</v>
      </c>
    </row>
    <row r="25" spans="1:9" ht="12.75" hidden="1" customHeight="1">
      <c r="A25" s="74"/>
      <c r="B25" s="75" t="s">
        <v>24</v>
      </c>
      <c r="C25" s="74"/>
      <c r="D25" s="74"/>
      <c r="E25" s="76"/>
      <c r="F25" s="77"/>
      <c r="G25" s="78"/>
      <c r="H25" s="78"/>
      <c r="I25" s="78"/>
    </row>
    <row r="26" spans="1:9" s="12" customFormat="1" ht="12.75">
      <c r="A26" s="70" t="s">
        <v>25</v>
      </c>
      <c r="B26" s="70"/>
      <c r="C26" s="70"/>
      <c r="D26" s="70"/>
      <c r="E26" s="71"/>
      <c r="F26" s="72">
        <f>+'Centro 1'!F44+'Centro 2'!F45+'Centro 3'!F44+'Centro 4'!F44+'Centro 5'!F44</f>
        <v>0</v>
      </c>
      <c r="G26" s="72">
        <f>+'Centro 1'!G44+'Centro 2'!G45+'Centro 3'!G44+'Centro 4'!G44</f>
        <v>0</v>
      </c>
      <c r="H26" s="72">
        <f>+G26-F26</f>
        <v>0</v>
      </c>
      <c r="I26" s="73" t="str">
        <f>IF(F26=0,"S/P",+H26/F26)</f>
        <v>S/P</v>
      </c>
    </row>
    <row r="27" spans="1:9" ht="12.75" customHeight="1">
      <c r="A27" s="74"/>
      <c r="B27" s="75" t="s">
        <v>26</v>
      </c>
      <c r="C27" s="74"/>
      <c r="D27" s="74"/>
      <c r="E27" s="76"/>
      <c r="F27" s="77"/>
      <c r="G27" s="78"/>
      <c r="H27" s="78"/>
      <c r="I27" s="78"/>
    </row>
    <row r="28" spans="1:9" s="12" customFormat="1" ht="12.75" hidden="1">
      <c r="A28" s="70" t="s">
        <v>27</v>
      </c>
      <c r="B28" s="70"/>
      <c r="C28" s="70"/>
      <c r="D28" s="70"/>
      <c r="E28" s="71"/>
      <c r="F28" s="72">
        <f>+'Centro 1'!F46+'Centro 2'!F47+'Centro 3'!F46+'Centro 4'!F46+'Centro 5'!F46</f>
        <v>0</v>
      </c>
      <c r="G28" s="72">
        <f>+'Centro 1'!G46+'Centro 2'!G47+'Centro 3'!G46+'Centro 4'!G46</f>
        <v>0</v>
      </c>
      <c r="H28" s="72">
        <f>+G28-F28</f>
        <v>0</v>
      </c>
      <c r="I28" s="73" t="str">
        <f>IF(F28=0,"S/P",+H28/F28)</f>
        <v>S/P</v>
      </c>
    </row>
    <row r="29" spans="1:9" ht="12.75" hidden="1" customHeight="1">
      <c r="A29" s="74"/>
      <c r="B29" s="75" t="s">
        <v>28</v>
      </c>
      <c r="C29" s="74"/>
      <c r="D29" s="74"/>
      <c r="E29" s="76"/>
      <c r="F29" s="77"/>
      <c r="G29" s="78"/>
      <c r="H29" s="78"/>
      <c r="I29" s="78"/>
    </row>
    <row r="30" spans="1:9" s="63" customFormat="1" ht="16.5" hidden="1">
      <c r="A30" s="108" t="s">
        <v>29</v>
      </c>
      <c r="B30" s="109"/>
      <c r="C30" s="109"/>
      <c r="D30" s="109"/>
      <c r="E30" s="110"/>
      <c r="F30" s="111">
        <f>+F32</f>
        <v>0</v>
      </c>
      <c r="G30" s="111">
        <f>+G32</f>
        <v>0</v>
      </c>
      <c r="H30" s="111">
        <f>+H32</f>
        <v>0</v>
      </c>
      <c r="I30" s="143" t="str">
        <f>IF(F30=0,"S/P",+H30/F30)</f>
        <v>S/P</v>
      </c>
    </row>
    <row r="31" spans="1:9" s="63" customFormat="1" ht="9.75" hidden="1" customHeight="1">
      <c r="A31" s="112"/>
      <c r="B31" s="112"/>
      <c r="C31" s="112"/>
      <c r="D31" s="112"/>
      <c r="E31" s="112"/>
      <c r="F31" s="112"/>
      <c r="G31" s="112"/>
      <c r="H31" s="112"/>
      <c r="I31" s="112"/>
    </row>
    <row r="32" spans="1:9" s="12" customFormat="1" ht="12.75" hidden="1">
      <c r="A32" s="113" t="s">
        <v>30</v>
      </c>
      <c r="B32" s="113"/>
      <c r="C32" s="113"/>
      <c r="D32" s="113"/>
      <c r="E32" s="114"/>
      <c r="F32" s="115">
        <f>+'Centro 1'!F50+'Centro 2'!F51+'Centro 3'!F50+'Centro 4'!F50+'Centro 5'!F50</f>
        <v>0</v>
      </c>
      <c r="G32" s="115">
        <f>+'Centro 1'!G50+'Centro 2'!G51+'Centro 3'!G50+'Centro 4'!G50</f>
        <v>0</v>
      </c>
      <c r="H32" s="115">
        <f>+G32-F32</f>
        <v>0</v>
      </c>
      <c r="I32" s="144" t="str">
        <f>IF(F32=0,"S/P",+H32/F32)</f>
        <v>S/P</v>
      </c>
    </row>
    <row r="33" spans="1:10" ht="12.75" hidden="1" customHeight="1">
      <c r="A33" s="116"/>
      <c r="B33" s="117" t="s">
        <v>31</v>
      </c>
      <c r="C33" s="116"/>
      <c r="D33" s="116"/>
      <c r="E33" s="118"/>
      <c r="F33" s="119"/>
      <c r="G33" s="78"/>
      <c r="H33" s="78"/>
      <c r="I33" s="78"/>
    </row>
    <row r="34" spans="1:10" s="63" customFormat="1" ht="16.5" hidden="1">
      <c r="A34" s="58" t="s">
        <v>32</v>
      </c>
      <c r="B34" s="59"/>
      <c r="C34" s="59"/>
      <c r="D34" s="59"/>
      <c r="E34" s="60"/>
      <c r="F34" s="61">
        <f>+F36</f>
        <v>0</v>
      </c>
      <c r="G34" s="61">
        <f>+G36</f>
        <v>0</v>
      </c>
      <c r="H34" s="61">
        <f>+H36</f>
        <v>0</v>
      </c>
      <c r="I34" s="62" t="str">
        <f>IF(F34=0,"S/P",+H34/F34)</f>
        <v>S/P</v>
      </c>
    </row>
    <row r="35" spans="1:10" s="63" customFormat="1" ht="9.75" hidden="1" customHeight="1"/>
    <row r="36" spans="1:10" s="12" customFormat="1" ht="12.75" hidden="1">
      <c r="A36" s="341" t="s">
        <v>33</v>
      </c>
      <c r="B36" s="341"/>
      <c r="C36" s="341"/>
      <c r="D36" s="341"/>
      <c r="E36" s="342"/>
      <c r="F36" s="343">
        <f>+'Centro 1'!F54+'Centro 2'!F55+'Centro 3'!F54+'Centro 4'!F54+'Centro 5'!F54</f>
        <v>0</v>
      </c>
      <c r="G36" s="343">
        <f>+'Centro 1'!G54+'Centro 2'!G55+'Centro 3'!G54+'Centro 4'!G54</f>
        <v>0</v>
      </c>
      <c r="H36" s="343">
        <f>+G36-F36</f>
        <v>0</v>
      </c>
      <c r="I36" s="344" t="str">
        <f>IF(F36=0,"S/P",+H36/F36)</f>
        <v>S/P</v>
      </c>
      <c r="J36" s="170"/>
    </row>
    <row r="37" spans="1:10" ht="12.75" hidden="1" customHeight="1">
      <c r="A37" s="170"/>
      <c r="B37" s="25" t="s">
        <v>34</v>
      </c>
      <c r="C37" s="170"/>
      <c r="D37" s="170"/>
      <c r="E37" s="348"/>
      <c r="F37" s="43"/>
      <c r="G37" s="120"/>
      <c r="H37" s="120"/>
      <c r="I37" s="120"/>
    </row>
    <row r="38" spans="1:10" s="63" customFormat="1" ht="16.5">
      <c r="A38" s="65" t="s">
        <v>35</v>
      </c>
      <c r="B38" s="66"/>
      <c r="C38" s="66"/>
      <c r="D38" s="66"/>
      <c r="E38" s="67"/>
      <c r="F38" s="68">
        <f>+SUM(F39:F47)</f>
        <v>0</v>
      </c>
      <c r="G38" s="68">
        <f t="shared" ref="G38:H38" si="2">+SUM(G39:G47)</f>
        <v>0</v>
      </c>
      <c r="H38" s="68">
        <f t="shared" si="2"/>
        <v>0</v>
      </c>
      <c r="I38" s="69" t="str">
        <f>IF(F38=0,"S/P",+H38/F38)</f>
        <v>S/P</v>
      </c>
      <c r="J38" s="233"/>
    </row>
    <row r="39" spans="1:10" s="63" customFormat="1" ht="9.75" customHeight="1"/>
    <row r="40" spans="1:10" s="12" customFormat="1" ht="12.75">
      <c r="A40" s="70" t="s">
        <v>36</v>
      </c>
      <c r="B40" s="70"/>
      <c r="C40" s="70"/>
      <c r="D40" s="70"/>
      <c r="E40" s="71"/>
      <c r="F40" s="72">
        <f>+'Centro 1'!F58+'Centro 2'!F59+'Centro 3'!F58+'Centro 4'!F58+'Centro 5'!F58</f>
        <v>0</v>
      </c>
      <c r="G40" s="72">
        <f>+'Centro 1'!G58+'Centro 2'!G59+'Centro 3'!G58+'Centro 4'!G58</f>
        <v>0</v>
      </c>
      <c r="H40" s="72">
        <f>+G40-F40</f>
        <v>0</v>
      </c>
      <c r="I40" s="73" t="str">
        <f>IF(F40=0,"S/P",+H40/F40)</f>
        <v>S/P</v>
      </c>
      <c r="J40" s="345"/>
    </row>
    <row r="41" spans="1:10" s="15" customFormat="1" ht="12.75" customHeight="1">
      <c r="A41" s="79"/>
      <c r="B41" s="75" t="s">
        <v>37</v>
      </c>
      <c r="C41" s="79"/>
      <c r="D41" s="79"/>
      <c r="E41" s="150"/>
      <c r="F41" s="145"/>
      <c r="G41" s="146"/>
      <c r="H41" s="146"/>
      <c r="I41" s="147"/>
    </row>
    <row r="42" spans="1:10" s="12" customFormat="1" ht="12.75">
      <c r="A42" s="70" t="s">
        <v>38</v>
      </c>
      <c r="B42" s="70"/>
      <c r="C42" s="70"/>
      <c r="D42" s="70"/>
      <c r="E42" s="71"/>
      <c r="F42" s="72">
        <f>+'Centro 1'!F64+'Centro 2'!F65+'Centro 3'!F64+'Centro 4'!F64+'Centro 5'!F64</f>
        <v>0</v>
      </c>
      <c r="G42" s="72">
        <f>+'Centro 1'!G64+'Centro 2'!G65+'Centro 3'!G64+'Centro 4'!G64</f>
        <v>0</v>
      </c>
      <c r="H42" s="72">
        <f>+G42-F42</f>
        <v>0</v>
      </c>
      <c r="I42" s="73" t="str">
        <f>IF(F42=0,"S/P",+H42/F42)</f>
        <v>S/P</v>
      </c>
      <c r="J42" s="345"/>
    </row>
    <row r="43" spans="1:10" s="15" customFormat="1" ht="12.75" customHeight="1">
      <c r="A43" s="79"/>
      <c r="B43" s="75" t="s">
        <v>39</v>
      </c>
      <c r="C43" s="79"/>
      <c r="D43" s="79"/>
      <c r="E43" s="150"/>
      <c r="F43" s="145"/>
      <c r="G43" s="146"/>
      <c r="H43" s="146"/>
      <c r="I43" s="147"/>
    </row>
    <row r="44" spans="1:10" s="12" customFormat="1" ht="12.75">
      <c r="A44" s="70" t="s">
        <v>40</v>
      </c>
      <c r="B44" s="70"/>
      <c r="C44" s="70"/>
      <c r="D44" s="70"/>
      <c r="E44" s="71"/>
      <c r="F44" s="72">
        <f>+'Centro 1'!F70+'Centro 2'!F71+'Centro 3'!F70+'Centro 4'!F70+'Centro 5'!F70</f>
        <v>0</v>
      </c>
      <c r="G44" s="72">
        <f>+'Centro 1'!G70+'Centro 2'!G71+'Centro 3'!G70+'Centro 4'!G70</f>
        <v>0</v>
      </c>
      <c r="H44" s="72">
        <f>+G44-F44</f>
        <v>0</v>
      </c>
      <c r="I44" s="73" t="str">
        <f>IF(F44=0,"S/P",+H44/F44)</f>
        <v>S/P</v>
      </c>
      <c r="J44" s="345"/>
    </row>
    <row r="45" spans="1:10" s="15" customFormat="1" ht="12.75" customHeight="1">
      <c r="A45" s="79"/>
      <c r="B45" s="75" t="s">
        <v>41</v>
      </c>
      <c r="C45" s="79"/>
      <c r="D45" s="79"/>
      <c r="E45" s="150"/>
      <c r="F45" s="145"/>
      <c r="G45" s="146"/>
      <c r="H45" s="146"/>
      <c r="I45" s="147"/>
    </row>
    <row r="46" spans="1:10" s="12" customFormat="1" ht="12.75">
      <c r="A46" s="70" t="s">
        <v>42</v>
      </c>
      <c r="B46" s="70"/>
      <c r="C46" s="70"/>
      <c r="D46" s="70"/>
      <c r="E46" s="71"/>
      <c r="F46" s="72">
        <f>+'Centro 1'!F77+'Centro 2'!F78+'Centro 3'!F77+'Centro 4'!F77+'Centro 5'!F77</f>
        <v>0</v>
      </c>
      <c r="G46" s="72">
        <f>+'Centro 1'!G77+'Centro 2'!G78+'Centro 3'!G77+'Centro 4'!G77</f>
        <v>0</v>
      </c>
      <c r="H46" s="72">
        <f>+G46-F46</f>
        <v>0</v>
      </c>
      <c r="I46" s="73" t="str">
        <f>IF(F46=0,"S/P",+H46/F46)</f>
        <v>S/P</v>
      </c>
      <c r="J46" s="345"/>
    </row>
    <row r="47" spans="1:10" s="15" customFormat="1" ht="12.75" customHeight="1">
      <c r="A47" s="79"/>
      <c r="B47" s="75" t="s">
        <v>43</v>
      </c>
      <c r="C47" s="79"/>
      <c r="D47" s="79"/>
      <c r="E47" s="150"/>
      <c r="F47" s="145"/>
      <c r="G47" s="146"/>
      <c r="H47" s="146"/>
      <c r="I47" s="147"/>
    </row>
    <row r="48" spans="1:10" s="63" customFormat="1" ht="16.5">
      <c r="A48" s="58" t="s">
        <v>44</v>
      </c>
      <c r="B48" s="59"/>
      <c r="C48" s="59"/>
      <c r="D48" s="59"/>
      <c r="E48" s="60"/>
      <c r="F48" s="61">
        <f>+SUM(F50:F59)</f>
        <v>0</v>
      </c>
      <c r="G48" s="61">
        <f>+SUM(G49:G59)</f>
        <v>0</v>
      </c>
      <c r="H48" s="61">
        <f>+SUM(H49:H59)</f>
        <v>0</v>
      </c>
      <c r="I48" s="62" t="str">
        <f>IF(F48=0,"S/P",+H48/F48)</f>
        <v>S/P</v>
      </c>
    </row>
    <row r="49" spans="1:10" s="63" customFormat="1" ht="9.75" customHeight="1"/>
    <row r="50" spans="1:10" s="12" customFormat="1" ht="12.75">
      <c r="A50" s="341" t="s">
        <v>45</v>
      </c>
      <c r="B50" s="341"/>
      <c r="C50" s="341"/>
      <c r="D50" s="341"/>
      <c r="E50" s="342"/>
      <c r="F50" s="343">
        <f>+'Centro 1'!F86+'Centro 2'!F87+'Centro 3'!F85+'Centro 4'!F85+'Centro 5'!F85</f>
        <v>0</v>
      </c>
      <c r="G50" s="343">
        <f>+'Centro 1'!G86+'Centro 2'!G87+'Centro 3'!G85+'Centro 4'!G85</f>
        <v>0</v>
      </c>
      <c r="H50" s="343">
        <f>+G50-F50</f>
        <v>0</v>
      </c>
      <c r="I50" s="344" t="str">
        <f>IF(F50=0,"S/P",+H50/F50)</f>
        <v>S/P</v>
      </c>
      <c r="J50" s="170"/>
    </row>
    <row r="51" spans="1:10" s="12" customFormat="1" ht="12.75" customHeight="1">
      <c r="A51" s="170"/>
      <c r="B51" s="25" t="s">
        <v>46</v>
      </c>
      <c r="C51" s="170"/>
      <c r="D51" s="170"/>
      <c r="E51" s="348"/>
      <c r="F51" s="43"/>
      <c r="G51" s="120"/>
      <c r="H51" s="120"/>
      <c r="I51" s="120"/>
      <c r="J51" s="170"/>
    </row>
    <row r="52" spans="1:10" s="12" customFormat="1" ht="12.75" hidden="1">
      <c r="A52" s="341" t="s">
        <v>47</v>
      </c>
      <c r="B52" s="341"/>
      <c r="C52" s="341"/>
      <c r="D52" s="341"/>
      <c r="E52" s="342"/>
      <c r="F52" s="343">
        <f>+'Centro 1'!F88+'Centro 2'!F89+'Centro 3'!F87+'Centro 4'!F87+'Centro 5'!F87</f>
        <v>0</v>
      </c>
      <c r="G52" s="343">
        <f>+'Centro 1'!G88+'Centro 2'!G89+'Centro 3'!G87+'Centro 4'!G87</f>
        <v>0</v>
      </c>
      <c r="H52" s="343">
        <f>+G52-F52</f>
        <v>0</v>
      </c>
      <c r="I52" s="344" t="str">
        <f>IF(F52=0,"S/P",+H52/F52)</f>
        <v>S/P</v>
      </c>
      <c r="J52" s="170"/>
    </row>
    <row r="53" spans="1:10" s="12" customFormat="1" ht="12.75" hidden="1" customHeight="1">
      <c r="A53" s="170"/>
      <c r="B53" s="25" t="s">
        <v>48</v>
      </c>
      <c r="C53" s="170"/>
      <c r="D53" s="170"/>
      <c r="E53" s="348"/>
      <c r="F53" s="43"/>
      <c r="G53" s="120"/>
      <c r="H53" s="120"/>
      <c r="I53" s="120"/>
      <c r="J53" s="170"/>
    </row>
    <row r="54" spans="1:10" s="12" customFormat="1" ht="12.75" hidden="1">
      <c r="A54" s="341" t="s">
        <v>49</v>
      </c>
      <c r="B54" s="341"/>
      <c r="C54" s="341"/>
      <c r="D54" s="341"/>
      <c r="E54" s="342"/>
      <c r="F54" s="343">
        <f>+'Centro 1'!F90+'Centro 2'!F91+'Centro 3'!F89+'Centro 4'!F89+'Centro 5'!F89</f>
        <v>0</v>
      </c>
      <c r="G54" s="343">
        <f>+'Centro 1'!G90+'Centro 2'!G91+'Centro 3'!G89+'Centro 4'!G89</f>
        <v>0</v>
      </c>
      <c r="H54" s="343">
        <f>+G54-F54</f>
        <v>0</v>
      </c>
      <c r="I54" s="344" t="str">
        <f>IF(F54=0,"S/P",+H54/F54)</f>
        <v>S/P</v>
      </c>
      <c r="J54" s="170"/>
    </row>
    <row r="55" spans="1:10" s="12" customFormat="1" ht="12.75" hidden="1" customHeight="1">
      <c r="A55" s="170"/>
      <c r="B55" s="25" t="s">
        <v>50</v>
      </c>
      <c r="C55" s="170"/>
      <c r="D55" s="170"/>
      <c r="E55" s="348"/>
      <c r="F55" s="43"/>
      <c r="G55" s="120"/>
      <c r="H55" s="120"/>
      <c r="I55" s="120"/>
      <c r="J55" s="170"/>
    </row>
    <row r="56" spans="1:10" s="12" customFormat="1" ht="12.75" hidden="1">
      <c r="A56" s="341" t="s">
        <v>51</v>
      </c>
      <c r="B56" s="341"/>
      <c r="C56" s="341"/>
      <c r="D56" s="341"/>
      <c r="E56" s="342"/>
      <c r="F56" s="343">
        <f>+'Centro 1'!F92+'Centro 2'!F93+'Centro 3'!F91+'Centro 4'!F91+'Centro 5'!F91</f>
        <v>0</v>
      </c>
      <c r="G56" s="343">
        <f>+'Centro 1'!G92+'Centro 2'!G93+'Centro 3'!G91+'Centro 4'!G91</f>
        <v>0</v>
      </c>
      <c r="H56" s="343">
        <f>+G56-F56</f>
        <v>0</v>
      </c>
      <c r="I56" s="344" t="str">
        <f>IF(F56=0,"S/P",+H56/F56)</f>
        <v>S/P</v>
      </c>
      <c r="J56" s="170"/>
    </row>
    <row r="57" spans="1:10" s="12" customFormat="1" ht="12.75" hidden="1" customHeight="1">
      <c r="A57" s="170"/>
      <c r="B57" s="25" t="s">
        <v>52</v>
      </c>
      <c r="C57" s="170"/>
      <c r="D57" s="170"/>
      <c r="E57" s="348"/>
      <c r="F57" s="43"/>
      <c r="G57" s="120"/>
      <c r="H57" s="120"/>
      <c r="I57" s="120"/>
      <c r="J57" s="170"/>
    </row>
    <row r="58" spans="1:10" s="12" customFormat="1" ht="12.75" hidden="1">
      <c r="A58" s="341" t="s">
        <v>53</v>
      </c>
      <c r="B58" s="341"/>
      <c r="C58" s="341"/>
      <c r="D58" s="341"/>
      <c r="E58" s="342"/>
      <c r="F58" s="343">
        <f>+'Centro 1'!F94+'Centro 2'!F95+'Centro 3'!F93+'Centro 4'!F93+'Centro 5'!F93</f>
        <v>0</v>
      </c>
      <c r="G58" s="343">
        <f>+'Centro 1'!G94+'Centro 2'!G95+'Centro 3'!G93+'Centro 4'!G93</f>
        <v>0</v>
      </c>
      <c r="H58" s="343">
        <f>+G58-F58</f>
        <v>0</v>
      </c>
      <c r="I58" s="344" t="str">
        <f>IF(F58=0,"S/P",+H58/F58)</f>
        <v>S/P</v>
      </c>
      <c r="J58" s="170"/>
    </row>
    <row r="59" spans="1:10" s="12" customFormat="1" ht="12.75" hidden="1" customHeight="1">
      <c r="A59" s="170"/>
      <c r="B59" s="25" t="s">
        <v>54</v>
      </c>
      <c r="C59" s="170"/>
      <c r="D59" s="170"/>
      <c r="E59" s="348"/>
      <c r="F59" s="43"/>
      <c r="G59" s="120"/>
      <c r="H59" s="120"/>
      <c r="I59" s="120"/>
      <c r="J59" s="170"/>
    </row>
    <row r="60" spans="1:10" s="63" customFormat="1" ht="16.5">
      <c r="A60" s="65" t="s">
        <v>55</v>
      </c>
      <c r="B60" s="66"/>
      <c r="C60" s="66"/>
      <c r="D60" s="66"/>
      <c r="E60" s="67"/>
      <c r="F60" s="68" t="e">
        <f>+F62+F64+F66</f>
        <v>#N/A</v>
      </c>
      <c r="G60" s="68">
        <f>+SUM(G61:G67)</f>
        <v>0</v>
      </c>
      <c r="H60" s="68" t="e">
        <f>+SUM(H61:H67)</f>
        <v>#N/A</v>
      </c>
      <c r="I60" s="69" t="e">
        <f>IF(F60=0,"S/P",+H60/F60)</f>
        <v>#N/A</v>
      </c>
    </row>
    <row r="61" spans="1:10" s="63" customFormat="1" ht="9.75" customHeight="1"/>
    <row r="62" spans="1:10" s="12" customFormat="1" ht="12.75">
      <c r="A62" s="70" t="s">
        <v>56</v>
      </c>
      <c r="B62" s="70"/>
      <c r="C62" s="70"/>
      <c r="D62" s="70"/>
      <c r="E62" s="71"/>
      <c r="F62" s="72" t="e">
        <f>+'Centro 1'!F98+'Centro 2'!F99+'Centro 3'!F97+'Centro 4'!F97+'Centro 5'!F97</f>
        <v>#N/A</v>
      </c>
      <c r="G62" s="72">
        <f>+'Centro 1'!G98+'Centro 2'!G99+'Centro 3'!G97+'Centro 4'!G97</f>
        <v>0</v>
      </c>
      <c r="H62" s="72" t="e">
        <f>+G62-F62</f>
        <v>#N/A</v>
      </c>
      <c r="I62" s="73" t="e">
        <f>IF(F62=0,"S/P",+H62/F62)</f>
        <v>#N/A</v>
      </c>
      <c r="J62" s="345"/>
    </row>
    <row r="63" spans="1:10" ht="12.75" customHeight="1">
      <c r="A63" s="74"/>
      <c r="B63" s="75" t="s">
        <v>57</v>
      </c>
      <c r="C63" s="74"/>
      <c r="D63" s="74"/>
      <c r="E63" s="76"/>
      <c r="F63" s="77"/>
      <c r="G63" s="78"/>
      <c r="H63" s="78"/>
      <c r="I63" s="78"/>
    </row>
    <row r="64" spans="1:10" s="12" customFormat="1" ht="12.75">
      <c r="A64" s="70" t="s">
        <v>58</v>
      </c>
      <c r="B64" s="70"/>
      <c r="C64" s="70"/>
      <c r="D64" s="70"/>
      <c r="E64" s="71"/>
      <c r="F64" s="72" t="e">
        <f>+'Centro 1'!F100+'Centro 2'!F101+'Centro 3'!F99+'Centro 4'!F99+'Centro 5'!F99</f>
        <v>#N/A</v>
      </c>
      <c r="G64" s="72">
        <f>+'Centro 1'!G100+'Centro 2'!G101+'Centro 3'!G99+'Centro 4'!G99</f>
        <v>0</v>
      </c>
      <c r="H64" s="72" t="e">
        <f>+G64-F64</f>
        <v>#N/A</v>
      </c>
      <c r="I64" s="73" t="e">
        <f>IF(F64=0,"S/P",+H64/F64)</f>
        <v>#N/A</v>
      </c>
      <c r="J64" s="170"/>
    </row>
    <row r="65" spans="1:9" ht="12.75" customHeight="1">
      <c r="A65" s="74"/>
      <c r="B65" s="75" t="s">
        <v>59</v>
      </c>
      <c r="C65" s="74"/>
      <c r="D65" s="74"/>
      <c r="E65" s="76"/>
      <c r="F65" s="77"/>
      <c r="G65" s="78"/>
      <c r="H65" s="78"/>
      <c r="I65" s="78"/>
    </row>
    <row r="66" spans="1:9" s="12" customFormat="1" ht="12.75">
      <c r="A66" s="70" t="s">
        <v>60</v>
      </c>
      <c r="B66" s="70"/>
      <c r="C66" s="70"/>
      <c r="D66" s="70"/>
      <c r="E66" s="71"/>
      <c r="F66" s="72">
        <f>+'Centro 1'!F102+'Centro 2'!F103+'Centro 3'!F101+'Centro 4'!F101+'Centro 5'!F101</f>
        <v>0</v>
      </c>
      <c r="G66" s="72">
        <f>+'Centro 1'!G102+'Centro 2'!G103+'Centro 3'!G101+'Centro 4'!G101</f>
        <v>0</v>
      </c>
      <c r="H66" s="72">
        <f>+G66-F66</f>
        <v>0</v>
      </c>
      <c r="I66" s="73" t="str">
        <f>IF(F66=0,"S/P",+H66/F66)</f>
        <v>S/P</v>
      </c>
    </row>
    <row r="67" spans="1:9" ht="12.75" customHeight="1">
      <c r="A67" s="74"/>
      <c r="B67" s="75" t="s">
        <v>61</v>
      </c>
      <c r="C67" s="74"/>
      <c r="D67" s="74"/>
      <c r="E67" s="76"/>
      <c r="F67" s="77"/>
      <c r="G67" s="78"/>
      <c r="H67" s="78"/>
      <c r="I67" s="78"/>
    </row>
    <row r="68" spans="1:9" s="63" customFormat="1" ht="16.5">
      <c r="A68" s="65" t="s">
        <v>62</v>
      </c>
      <c r="B68" s="66"/>
      <c r="C68" s="66"/>
      <c r="D68" s="66"/>
      <c r="E68" s="67"/>
      <c r="F68" s="68">
        <f>+SUM(F69:F93)</f>
        <v>0</v>
      </c>
      <c r="G68" s="68">
        <f>+G72+G74+G76+G78+G80+G82+G84+G86+G88+G90+G92</f>
        <v>0</v>
      </c>
      <c r="H68" s="68">
        <f>+H72+H74+H76+H78+H80+H82+H84+H86+H88+H90+H92</f>
        <v>0</v>
      </c>
      <c r="I68" s="69" t="str">
        <f>IF(F68=0,"S/P",+H68/F68)</f>
        <v>S/P</v>
      </c>
    </row>
    <row r="69" spans="1:9" s="63" customFormat="1" ht="9.75" customHeight="1"/>
    <row r="70" spans="1:9" s="12" customFormat="1" ht="12.75">
      <c r="A70" s="70" t="s">
        <v>63</v>
      </c>
      <c r="B70" s="70"/>
      <c r="C70" s="70"/>
      <c r="D70" s="70"/>
      <c r="E70" s="71"/>
      <c r="F70" s="72">
        <f>+'Centro 1'!F106+'Centro 2'!F107+'Centro 3'!F105+'Centro 4'!F105+'Centro 5'!F105</f>
        <v>0</v>
      </c>
      <c r="G70" s="72">
        <f>+'Centro 1'!G106+'Centro 2'!G107+'Centro 3'!G105+'Centro 4'!G105</f>
        <v>0</v>
      </c>
      <c r="H70" s="72">
        <f>+G70-F70</f>
        <v>0</v>
      </c>
      <c r="I70" s="73" t="str">
        <f>IF(F70=0,"S/P",+H70/F70)</f>
        <v>S/P</v>
      </c>
    </row>
    <row r="71" spans="1:9" s="15" customFormat="1" ht="12.75" customHeight="1">
      <c r="A71" s="79"/>
      <c r="B71" s="75" t="s">
        <v>64</v>
      </c>
      <c r="C71" s="79"/>
      <c r="D71" s="79"/>
      <c r="E71" s="80"/>
      <c r="F71" s="81"/>
      <c r="G71" s="82"/>
      <c r="H71" s="82"/>
      <c r="I71" s="83"/>
    </row>
    <row r="72" spans="1:9" s="12" customFormat="1" ht="12.75">
      <c r="A72" s="70" t="s">
        <v>65</v>
      </c>
      <c r="B72" s="70"/>
      <c r="C72" s="70"/>
      <c r="D72" s="70"/>
      <c r="E72" s="71"/>
      <c r="F72" s="72">
        <f>+'Centro 1'!F108+'Centro 2'!F109+'Centro 3'!F107+'Centro 4'!F107+'Centro 5'!F107</f>
        <v>0</v>
      </c>
      <c r="G72" s="72">
        <f>+'Centro 1'!G108+'Centro 2'!G109+'Centro 3'!G107+'Centro 4'!G107</f>
        <v>0</v>
      </c>
      <c r="H72" s="72">
        <f>+G72-F72</f>
        <v>0</v>
      </c>
      <c r="I72" s="73" t="str">
        <f>IF(F72=0,"S/P",+H72/F72)</f>
        <v>S/P</v>
      </c>
    </row>
    <row r="73" spans="1:9" s="15" customFormat="1" ht="12.75" customHeight="1">
      <c r="A73" s="79"/>
      <c r="B73" s="75" t="s">
        <v>66</v>
      </c>
      <c r="C73" s="79"/>
      <c r="D73" s="79"/>
      <c r="E73" s="80"/>
      <c r="F73" s="81"/>
      <c r="G73" s="82"/>
      <c r="H73" s="82"/>
      <c r="I73" s="83"/>
    </row>
    <row r="74" spans="1:9" s="12" customFormat="1" ht="12.75">
      <c r="A74" s="70" t="s">
        <v>67</v>
      </c>
      <c r="B74" s="70"/>
      <c r="C74" s="70"/>
      <c r="D74" s="70"/>
      <c r="E74" s="71"/>
      <c r="F74" s="72">
        <f>+'Centro 1'!F110+'Centro 2'!F111+'Centro 3'!F109+'Centro 4'!F109+'Centro 5'!F109</f>
        <v>0</v>
      </c>
      <c r="G74" s="72">
        <f>+'Centro 1'!G110+'Centro 2'!G111+'Centro 3'!G109+'Centro 4'!G109</f>
        <v>0</v>
      </c>
      <c r="H74" s="72">
        <f>+G74-F74</f>
        <v>0</v>
      </c>
      <c r="I74" s="73" t="str">
        <f>IF(F74=0,"S/P",+H74/F74)</f>
        <v>S/P</v>
      </c>
    </row>
    <row r="75" spans="1:9" s="15" customFormat="1" ht="12.75" customHeight="1">
      <c r="A75" s="79"/>
      <c r="B75" s="75" t="s">
        <v>68</v>
      </c>
      <c r="C75" s="79"/>
      <c r="D75" s="79"/>
      <c r="E75" s="80"/>
      <c r="F75" s="81"/>
      <c r="G75" s="82"/>
      <c r="H75" s="82"/>
      <c r="I75" s="83"/>
    </row>
    <row r="76" spans="1:9" s="12" customFormat="1" ht="12.75" hidden="1">
      <c r="A76" s="70" t="s">
        <v>69</v>
      </c>
      <c r="B76" s="70"/>
      <c r="C76" s="70"/>
      <c r="D76" s="70"/>
      <c r="E76" s="71"/>
      <c r="F76" s="72">
        <f>+'Centro 1'!F112+'Centro 2'!F113+'Centro 3'!F111+'Centro 4'!F111+'Centro 5'!F111</f>
        <v>0</v>
      </c>
      <c r="G76" s="72">
        <f>+'Centro 1'!G112+'Centro 2'!G113+'Centro 3'!G111+'Centro 4'!G111</f>
        <v>0</v>
      </c>
      <c r="H76" s="72">
        <f>+G76-F76</f>
        <v>0</v>
      </c>
      <c r="I76" s="73" t="str">
        <f>IF(F76=0,"S/P",+H76/F76)</f>
        <v>S/P</v>
      </c>
    </row>
    <row r="77" spans="1:9" s="15" customFormat="1" ht="12.75" hidden="1" customHeight="1">
      <c r="A77" s="79"/>
      <c r="B77" s="75" t="s">
        <v>70</v>
      </c>
      <c r="C77" s="79"/>
      <c r="D77" s="79"/>
      <c r="E77" s="80"/>
      <c r="F77" s="81"/>
      <c r="G77" s="82"/>
      <c r="H77" s="82"/>
      <c r="I77" s="82"/>
    </row>
    <row r="78" spans="1:9" s="12" customFormat="1" ht="12.75">
      <c r="A78" s="70" t="s">
        <v>71</v>
      </c>
      <c r="B78" s="70"/>
      <c r="C78" s="70"/>
      <c r="D78" s="70"/>
      <c r="E78" s="71"/>
      <c r="F78" s="72">
        <f>+'Centro 1'!F114+'Centro 2'!F115+'Centro 3'!F113+'Centro 4'!F113+'Centro 5'!F113</f>
        <v>0</v>
      </c>
      <c r="G78" s="72">
        <f>+'Centro 1'!G114+'Centro 2'!G115+'Centro 3'!G113+'Centro 4'!G113</f>
        <v>0</v>
      </c>
      <c r="H78" s="72">
        <f>+G78-F78</f>
        <v>0</v>
      </c>
      <c r="I78" s="73" t="str">
        <f>IF(F78=0,"S/P",+H78/F78)</f>
        <v>S/P</v>
      </c>
    </row>
    <row r="79" spans="1:9" s="15" customFormat="1" ht="12.75" customHeight="1">
      <c r="A79" s="79"/>
      <c r="B79" s="75" t="s">
        <v>72</v>
      </c>
      <c r="C79" s="79"/>
      <c r="D79" s="79"/>
      <c r="E79" s="80"/>
      <c r="F79" s="81"/>
      <c r="G79" s="82"/>
      <c r="H79" s="82"/>
      <c r="I79" s="82"/>
    </row>
    <row r="80" spans="1:9" s="12" customFormat="1" ht="12.75">
      <c r="A80" s="70" t="s">
        <v>73</v>
      </c>
      <c r="B80" s="70"/>
      <c r="C80" s="70"/>
      <c r="D80" s="70"/>
      <c r="E80" s="71"/>
      <c r="F80" s="72">
        <f>+'Centro 1'!F116+'Centro 2'!F117+'Centro 3'!F115+'Centro 4'!F115+'Centro 5'!F115</f>
        <v>0</v>
      </c>
      <c r="G80" s="72">
        <f>+'Centro 1'!G116+'Centro 2'!G117+'Centro 3'!G115+'Centro 4'!G115</f>
        <v>0</v>
      </c>
      <c r="H80" s="72">
        <f>+G80-F80</f>
        <v>0</v>
      </c>
      <c r="I80" s="73" t="str">
        <f>IF(F80=0,"S/P",+H80/F80)</f>
        <v>S/P</v>
      </c>
    </row>
    <row r="81" spans="1:9" s="15" customFormat="1" ht="12.75" customHeight="1">
      <c r="A81" s="79"/>
      <c r="B81" s="75" t="s">
        <v>74</v>
      </c>
      <c r="C81" s="79"/>
      <c r="D81" s="79"/>
      <c r="E81" s="80"/>
      <c r="F81" s="81"/>
      <c r="G81" s="82"/>
      <c r="H81" s="82"/>
      <c r="I81" s="82"/>
    </row>
    <row r="82" spans="1:9" s="12" customFormat="1" ht="12.75" hidden="1">
      <c r="A82" s="70" t="s">
        <v>75</v>
      </c>
      <c r="B82" s="70"/>
      <c r="C82" s="70"/>
      <c r="D82" s="70"/>
      <c r="E82" s="71"/>
      <c r="F82" s="72">
        <f>+'Centro 1'!F118+'Centro 2'!F119+'Centro 3'!F117+'Centro 4'!F117+'Centro 5'!F117</f>
        <v>0</v>
      </c>
      <c r="G82" s="72">
        <f>+'Centro 1'!G118+'Centro 2'!G119+'Centro 3'!G117+'Centro 4'!G117</f>
        <v>0</v>
      </c>
      <c r="H82" s="72">
        <f>+G82-F82</f>
        <v>0</v>
      </c>
      <c r="I82" s="73" t="str">
        <f>IF(F82=0,"S/P",+H82/F82)</f>
        <v>S/P</v>
      </c>
    </row>
    <row r="83" spans="1:9" s="15" customFormat="1" ht="12.75" hidden="1" customHeight="1">
      <c r="A83" s="79"/>
      <c r="B83" s="75" t="s">
        <v>76</v>
      </c>
      <c r="C83" s="79"/>
      <c r="D83" s="79"/>
      <c r="E83" s="80"/>
      <c r="F83" s="81"/>
      <c r="G83" s="82"/>
      <c r="H83" s="82"/>
      <c r="I83" s="82"/>
    </row>
    <row r="84" spans="1:9" s="12" customFormat="1" ht="12.75">
      <c r="A84" s="70" t="s">
        <v>77</v>
      </c>
      <c r="B84" s="70"/>
      <c r="C84" s="70"/>
      <c r="D84" s="70"/>
      <c r="E84" s="71"/>
      <c r="F84" s="72">
        <f>+'Centro 1'!F120+'Centro 2'!F121+'Centro 3'!F119+'Centro 4'!F119+'Centro 5'!F119</f>
        <v>0</v>
      </c>
      <c r="G84" s="72">
        <f>+'Centro 1'!G120+'Centro 2'!G121+'Centro 3'!G119+'Centro 4'!G119</f>
        <v>0</v>
      </c>
      <c r="H84" s="72">
        <f>+G84-F84</f>
        <v>0</v>
      </c>
      <c r="I84" s="73" t="str">
        <f>IF(F84=0,"S/P",+H84/F84)</f>
        <v>S/P</v>
      </c>
    </row>
    <row r="85" spans="1:9" s="15" customFormat="1" ht="12.75" customHeight="1">
      <c r="A85" s="79"/>
      <c r="B85" s="75" t="s">
        <v>78</v>
      </c>
      <c r="C85" s="79"/>
      <c r="D85" s="79"/>
      <c r="E85" s="150"/>
      <c r="F85" s="145"/>
      <c r="G85" s="146"/>
      <c r="H85" s="146"/>
      <c r="I85" s="147"/>
    </row>
    <row r="86" spans="1:9" s="12" customFormat="1" ht="12.75">
      <c r="A86" s="70" t="s">
        <v>79</v>
      </c>
      <c r="B86" s="70"/>
      <c r="C86" s="70"/>
      <c r="D86" s="70"/>
      <c r="E86" s="71"/>
      <c r="F86" s="72">
        <f>+'Centro 1'!F126+'Centro 2'!F127+'Centro 3'!F125+'Centro 4'!F125+'Centro 5'!F125</f>
        <v>0</v>
      </c>
      <c r="G86" s="72">
        <f>+'Centro 1'!G126+'Centro 2'!G127+'Centro 3'!G125+'Centro 4'!G125</f>
        <v>0</v>
      </c>
      <c r="H86" s="72">
        <f>+G86-F86</f>
        <v>0</v>
      </c>
      <c r="I86" s="73" t="str">
        <f>IF(F86=0,"S/P",+H86/F86)</f>
        <v>S/P</v>
      </c>
    </row>
    <row r="87" spans="1:9" s="15" customFormat="1" ht="12.75" customHeight="1">
      <c r="A87" s="79"/>
      <c r="B87" s="75" t="s">
        <v>80</v>
      </c>
      <c r="C87" s="79"/>
      <c r="D87" s="79"/>
      <c r="E87" s="150"/>
      <c r="F87" s="145"/>
      <c r="G87" s="146"/>
      <c r="H87" s="146"/>
      <c r="I87" s="147"/>
    </row>
    <row r="88" spans="1:9" s="12" customFormat="1" ht="12.75">
      <c r="A88" s="70" t="s">
        <v>81</v>
      </c>
      <c r="B88" s="70"/>
      <c r="C88" s="70"/>
      <c r="D88" s="70"/>
      <c r="E88" s="71"/>
      <c r="F88" s="72">
        <f>+'Centro 1'!F136+'Centro 2'!F137+'Centro 3'!F135+'Centro 4'!F135+'Centro 5'!F135</f>
        <v>0</v>
      </c>
      <c r="G88" s="72">
        <f>+'Centro 1'!G136+'Centro 2'!G137+'Centro 3'!G135+'Centro 4'!G135</f>
        <v>0</v>
      </c>
      <c r="H88" s="72">
        <f>+G88-F88</f>
        <v>0</v>
      </c>
      <c r="I88" s="73" t="str">
        <f>IF(F88=0,"S/P",+H88/F88)</f>
        <v>S/P</v>
      </c>
    </row>
    <row r="89" spans="1:9" s="15" customFormat="1" ht="12.75" customHeight="1">
      <c r="A89" s="79"/>
      <c r="B89" s="75" t="s">
        <v>82</v>
      </c>
      <c r="C89" s="79"/>
      <c r="D89" s="79"/>
      <c r="E89" s="80"/>
      <c r="F89" s="81"/>
      <c r="G89" s="84"/>
      <c r="H89" s="84"/>
      <c r="I89" s="84"/>
    </row>
    <row r="90" spans="1:9" s="12" customFormat="1" ht="12.75" hidden="1">
      <c r="A90" s="70" t="s">
        <v>83</v>
      </c>
      <c r="B90" s="70"/>
      <c r="C90" s="70"/>
      <c r="D90" s="70"/>
      <c r="E90" s="71"/>
      <c r="F90" s="72">
        <f>+'Centro 1'!F138+'Centro 2'!F139+'Centro 3'!F137+'Centro 4'!F137+'Centro 5'!F137</f>
        <v>0</v>
      </c>
      <c r="G90" s="72">
        <f>+'Centro 1'!G138+'Centro 2'!G139+'Centro 3'!G137+'Centro 4'!G137</f>
        <v>0</v>
      </c>
      <c r="H90" s="72">
        <f>+G90-F90</f>
        <v>0</v>
      </c>
      <c r="I90" s="73" t="str">
        <f>IF(F90=0,"S/P",+H90/F90)</f>
        <v>S/P</v>
      </c>
    </row>
    <row r="91" spans="1:9" s="15" customFormat="1" ht="12.75" hidden="1" customHeight="1">
      <c r="A91" s="79"/>
      <c r="B91" s="75" t="s">
        <v>84</v>
      </c>
      <c r="C91" s="79"/>
      <c r="D91" s="79"/>
      <c r="E91" s="80"/>
      <c r="F91" s="81"/>
      <c r="G91" s="84"/>
      <c r="H91" s="84"/>
      <c r="I91" s="84"/>
    </row>
    <row r="92" spans="1:9" s="12" customFormat="1" ht="12.75" hidden="1">
      <c r="A92" s="70" t="s">
        <v>85</v>
      </c>
      <c r="B92" s="70"/>
      <c r="C92" s="70"/>
      <c r="D92" s="70"/>
      <c r="E92" s="71"/>
      <c r="F92" s="72">
        <f>+'Centro 1'!F140+'Centro 2'!F141+'Centro 3'!F139+'Centro 4'!F139+'Centro 5'!F139</f>
        <v>0</v>
      </c>
      <c r="G92" s="72">
        <f>+'Centro 1'!G140+'Centro 2'!G141+'Centro 3'!G139+'Centro 4'!G139</f>
        <v>0</v>
      </c>
      <c r="H92" s="72">
        <f>+G92-F92</f>
        <v>0</v>
      </c>
      <c r="I92" s="73" t="str">
        <f>IF(F92=0,"S/P",+H92/F92)</f>
        <v>S/P</v>
      </c>
    </row>
    <row r="93" spans="1:9" s="15" customFormat="1" ht="12.75" hidden="1" customHeight="1">
      <c r="A93" s="79"/>
      <c r="B93" s="75" t="s">
        <v>86</v>
      </c>
      <c r="C93" s="79"/>
      <c r="D93" s="79"/>
      <c r="E93" s="80"/>
      <c r="F93" s="81"/>
      <c r="G93" s="84"/>
      <c r="H93" s="84"/>
      <c r="I93" s="84"/>
    </row>
    <row r="94" spans="1:9" s="63" customFormat="1" ht="16.5">
      <c r="A94" s="65" t="s">
        <v>87</v>
      </c>
      <c r="B94" s="66"/>
      <c r="C94" s="66"/>
      <c r="D94" s="66"/>
      <c r="E94" s="67"/>
      <c r="F94" s="68">
        <f>+F98+F96</f>
        <v>0</v>
      </c>
      <c r="G94" s="68">
        <f>+SUM(G95:G99)</f>
        <v>0</v>
      </c>
      <c r="H94" s="68">
        <f>+SUM(H95:H99)</f>
        <v>0</v>
      </c>
      <c r="I94" s="69" t="str">
        <f>IF(F94=0,"S/P",+H94/F94)</f>
        <v>S/P</v>
      </c>
    </row>
    <row r="95" spans="1:9" s="63" customFormat="1" ht="9.75" customHeight="1"/>
    <row r="96" spans="1:9" s="12" customFormat="1" ht="12.75">
      <c r="A96" s="70" t="s">
        <v>88</v>
      </c>
      <c r="B96" s="70"/>
      <c r="C96" s="70"/>
      <c r="D96" s="70"/>
      <c r="E96" s="71"/>
      <c r="F96" s="72">
        <f>+'Centro 1'!F144+'Centro 2'!F145+'Centro 3'!F143+'Centro 4'!F143+'Centro 5'!F143</f>
        <v>0</v>
      </c>
      <c r="G96" s="72">
        <f>+'Centro 1'!G144+'Centro 2'!G145+'Centro 3'!G143+'Centro 4'!G143</f>
        <v>0</v>
      </c>
      <c r="H96" s="72">
        <f>+G96-F96</f>
        <v>0</v>
      </c>
      <c r="I96" s="73" t="str">
        <f>IF(F96=0,"S/P",+H96/F96)</f>
        <v>S/P</v>
      </c>
    </row>
    <row r="97" spans="1:9" s="15" customFormat="1" ht="12.75" customHeight="1">
      <c r="A97" s="79"/>
      <c r="B97" s="75" t="s">
        <v>89</v>
      </c>
      <c r="C97" s="79"/>
      <c r="D97" s="79"/>
      <c r="E97" s="80"/>
      <c r="F97" s="81"/>
      <c r="G97" s="84"/>
      <c r="H97" s="84"/>
      <c r="I97" s="84"/>
    </row>
    <row r="98" spans="1:9" s="12" customFormat="1" ht="12.75">
      <c r="A98" s="70" t="s">
        <v>90</v>
      </c>
      <c r="B98" s="70"/>
      <c r="C98" s="70"/>
      <c r="D98" s="70"/>
      <c r="E98" s="71"/>
      <c r="F98" s="72">
        <f>+'Centro 1'!F146+'Centro 2'!F147+'Centro 3'!F145+'Centro 4'!F145+'Centro 5'!F145</f>
        <v>0</v>
      </c>
      <c r="G98" s="72">
        <f>+'Centro 1'!G146+'Centro 2'!G147+'Centro 3'!G145+'Centro 4'!G145</f>
        <v>0</v>
      </c>
      <c r="H98" s="72">
        <f>+G98-F98</f>
        <v>0</v>
      </c>
      <c r="I98" s="73" t="str">
        <f>IF(F98=0,"S/P",+H98/F98)</f>
        <v>S/P</v>
      </c>
    </row>
    <row r="99" spans="1:9" s="15" customFormat="1" ht="12.75" customHeight="1">
      <c r="A99" s="79"/>
      <c r="B99" s="75" t="s">
        <v>89</v>
      </c>
      <c r="C99" s="79"/>
      <c r="D99" s="79"/>
      <c r="E99" s="80"/>
      <c r="F99" s="81"/>
      <c r="G99" s="84"/>
      <c r="H99" s="84"/>
      <c r="I99" s="84"/>
    </row>
    <row r="100" spans="1:9" s="63" customFormat="1" ht="16.5">
      <c r="A100" s="58" t="s">
        <v>91</v>
      </c>
      <c r="B100" s="59"/>
      <c r="C100" s="59"/>
      <c r="D100" s="59"/>
      <c r="E100" s="60"/>
      <c r="F100" s="61">
        <f>+F104+F102</f>
        <v>0</v>
      </c>
      <c r="G100" s="61">
        <f>+SUM(G101:G105)</f>
        <v>0</v>
      </c>
      <c r="H100" s="61">
        <f>+SUM(H101:H105)</f>
        <v>0</v>
      </c>
      <c r="I100" s="62" t="str">
        <f>IF(F100=0,"S/P",+H100/F100)</f>
        <v>S/P</v>
      </c>
    </row>
    <row r="101" spans="1:9" s="63" customFormat="1" ht="9.75" customHeight="1"/>
    <row r="102" spans="1:9" s="12" customFormat="1" ht="12.75">
      <c r="A102" s="341" t="s">
        <v>92</v>
      </c>
      <c r="B102" s="341"/>
      <c r="C102" s="341"/>
      <c r="D102" s="341"/>
      <c r="E102" s="342"/>
      <c r="F102" s="343">
        <f>+'Centro 1'!F150+'Centro 2'!F151+'Centro 3'!F149+'Centro 4'!F149+'Centro 5'!F149</f>
        <v>0</v>
      </c>
      <c r="G102" s="343">
        <f>+'Centro 1'!G150+'Centro 2'!G151+'Centro 3'!G149+'Centro 4'!G149</f>
        <v>0</v>
      </c>
      <c r="H102" s="343">
        <f>+G102-F102</f>
        <v>0</v>
      </c>
      <c r="I102" s="344" t="str">
        <f>IF(F102=0,"S/P",+H102/F102)</f>
        <v>S/P</v>
      </c>
    </row>
    <row r="103" spans="1:9" s="15" customFormat="1" ht="12.75" customHeight="1">
      <c r="B103" s="25" t="s">
        <v>93</v>
      </c>
      <c r="C103" s="25"/>
      <c r="E103" s="46"/>
      <c r="F103" s="84"/>
      <c r="G103" s="84"/>
      <c r="H103" s="84"/>
      <c r="I103" s="84"/>
    </row>
    <row r="104" spans="1:9" s="12" customFormat="1" ht="12.75">
      <c r="A104" s="341" t="s">
        <v>94</v>
      </c>
      <c r="B104" s="341"/>
      <c r="C104" s="341"/>
      <c r="D104" s="341"/>
      <c r="E104" s="342"/>
      <c r="F104" s="343">
        <f>+'Centro 1'!F152+'Centro 2'!F153+'Centro 3'!F151+'Centro 4'!F151+'Centro 5'!F151</f>
        <v>0</v>
      </c>
      <c r="G104" s="343">
        <f>+'Centro 1'!G152+'Centro 2'!G153+'Centro 3'!G151+'Centro 4'!G151</f>
        <v>0</v>
      </c>
      <c r="H104" s="343">
        <f>+G104-F104</f>
        <v>0</v>
      </c>
      <c r="I104" s="344" t="str">
        <f>IF(F104=0,"S/P",+H104/F104)</f>
        <v>S/P</v>
      </c>
    </row>
    <row r="105" spans="1:9" s="15" customFormat="1" ht="12.75" customHeight="1">
      <c r="B105" s="25" t="s">
        <v>93</v>
      </c>
      <c r="E105" s="46"/>
      <c r="F105" s="84"/>
      <c r="G105" s="84"/>
      <c r="H105" s="84"/>
      <c r="I105" s="84"/>
    </row>
    <row r="106" spans="1:9" s="63" customFormat="1" ht="16.5" hidden="1">
      <c r="A106" s="58" t="s">
        <v>95</v>
      </c>
      <c r="B106" s="59"/>
      <c r="C106" s="59"/>
      <c r="D106" s="59"/>
      <c r="E106" s="60"/>
      <c r="F106" s="61">
        <f>+F108</f>
        <v>0</v>
      </c>
      <c r="G106" s="61">
        <f>+G108</f>
        <v>0</v>
      </c>
      <c r="H106" s="61">
        <f>+H108</f>
        <v>0</v>
      </c>
      <c r="I106" s="62" t="str">
        <f>IF(F106=0,"S/P",+H106/F106)</f>
        <v>S/P</v>
      </c>
    </row>
    <row r="107" spans="1:9" s="63" customFormat="1" ht="9.75" hidden="1" customHeight="1"/>
    <row r="108" spans="1:9" s="12" customFormat="1" ht="12.75" hidden="1">
      <c r="A108" s="341" t="s">
        <v>96</v>
      </c>
      <c r="B108" s="341"/>
      <c r="C108" s="341"/>
      <c r="D108" s="341"/>
      <c r="E108" s="342"/>
      <c r="F108" s="343">
        <f>+'Centro 1'!F156+'Centro 2'!F157+'Centro 3'!F155+'Centro 4'!F155+'Centro 5'!F155</f>
        <v>0</v>
      </c>
      <c r="G108" s="343">
        <f>+'Centro 1'!G156+'Centro 2'!G157+'Centro 3'!G155+'Centro 4'!G155</f>
        <v>0</v>
      </c>
      <c r="H108" s="343">
        <f>+G108-F108</f>
        <v>0</v>
      </c>
      <c r="I108" s="344" t="str">
        <f>IF(F108=0,"S/P",+H108/F108)</f>
        <v>S/P</v>
      </c>
    </row>
    <row r="109" spans="1:9" s="15" customFormat="1" ht="12.75" hidden="1" customHeight="1">
      <c r="B109" s="25" t="s">
        <v>97</v>
      </c>
      <c r="E109" s="46"/>
      <c r="F109" s="84"/>
      <c r="G109" s="84"/>
      <c r="H109" s="84"/>
      <c r="I109" s="84"/>
    </row>
    <row r="110" spans="1:9" s="63" customFormat="1" ht="16.5" hidden="1">
      <c r="A110" s="108" t="s">
        <v>98</v>
      </c>
      <c r="B110" s="109"/>
      <c r="C110" s="109"/>
      <c r="D110" s="109"/>
      <c r="E110" s="110"/>
      <c r="F110" s="111">
        <f>+F114+F112</f>
        <v>0</v>
      </c>
      <c r="G110" s="111">
        <f>+G112+G114</f>
        <v>0</v>
      </c>
      <c r="H110" s="111">
        <f>+H112+H114</f>
        <v>0</v>
      </c>
      <c r="I110" s="143" t="str">
        <f>IF(F110=0,"S/P",+H110/F110)</f>
        <v>S/P</v>
      </c>
    </row>
    <row r="111" spans="1:9" s="63" customFormat="1" ht="9.75" hidden="1" customHeight="1">
      <c r="A111" s="112"/>
      <c r="B111" s="112"/>
      <c r="C111" s="112"/>
      <c r="D111" s="112"/>
      <c r="E111" s="112"/>
      <c r="F111" s="112"/>
      <c r="G111" s="112"/>
      <c r="H111" s="112"/>
      <c r="I111" s="112"/>
    </row>
    <row r="112" spans="1:9" s="12" customFormat="1" ht="12.75" hidden="1">
      <c r="A112" s="113" t="s">
        <v>99</v>
      </c>
      <c r="B112" s="113"/>
      <c r="C112" s="113"/>
      <c r="D112" s="113"/>
      <c r="E112" s="114"/>
      <c r="F112" s="115">
        <f>+'Centro 1'!F160+'Centro 2'!F161+'Centro 3'!F159+'Centro 4'!F159+'Centro 5'!F159</f>
        <v>0</v>
      </c>
      <c r="G112" s="115">
        <f>+'Centro 1'!G160+'Centro 2'!G161+'Centro 3'!G159+'Centro 4'!G159</f>
        <v>0</v>
      </c>
      <c r="H112" s="115">
        <f>+G112-F112</f>
        <v>0</v>
      </c>
      <c r="I112" s="144" t="str">
        <f>IF(F112=0,"S/P",+G112/F112)</f>
        <v>S/P</v>
      </c>
    </row>
    <row r="113" spans="1:9" s="15" customFormat="1" ht="12.75" hidden="1" customHeight="1">
      <c r="A113" s="121"/>
      <c r="B113" s="117" t="s">
        <v>100</v>
      </c>
      <c r="C113" s="121"/>
      <c r="D113" s="121"/>
      <c r="E113" s="122"/>
      <c r="F113" s="123"/>
      <c r="G113" s="123"/>
      <c r="H113" s="123"/>
      <c r="I113" s="123"/>
    </row>
    <row r="114" spans="1:9" s="12" customFormat="1" ht="12.75" hidden="1">
      <c r="A114" s="113" t="s">
        <v>101</v>
      </c>
      <c r="B114" s="113"/>
      <c r="C114" s="113"/>
      <c r="D114" s="113"/>
      <c r="E114" s="114"/>
      <c r="F114" s="115">
        <f>+'Centro 1'!F162+'Centro 2'!F163+'Centro 3'!F161+'Centro 4'!F161+'Centro 5'!F161</f>
        <v>0</v>
      </c>
      <c r="G114" s="115">
        <f>+'Centro 1'!G162+'Centro 2'!G163+'Centro 3'!G161+'Centro 4'!G161</f>
        <v>0</v>
      </c>
      <c r="H114" s="115">
        <f>+G114-F114</f>
        <v>0</v>
      </c>
      <c r="I114" s="144" t="str">
        <f>IF(F114=0,"S/P",+G114/F114)</f>
        <v>S/P</v>
      </c>
    </row>
    <row r="115" spans="1:9" s="15" customFormat="1" ht="12.75" hidden="1" customHeight="1">
      <c r="A115" s="121"/>
      <c r="B115" s="117" t="s">
        <v>102</v>
      </c>
      <c r="C115" s="121"/>
      <c r="D115" s="121"/>
      <c r="E115" s="122"/>
      <c r="F115" s="123"/>
      <c r="G115" s="84"/>
      <c r="H115" s="84"/>
      <c r="I115" s="84"/>
    </row>
    <row r="116" spans="1:9" s="63" customFormat="1" ht="16.5">
      <c r="A116" s="124" t="s">
        <v>103</v>
      </c>
      <c r="B116" s="125"/>
      <c r="C116" s="125"/>
      <c r="D116" s="125"/>
      <c r="E116" s="126"/>
      <c r="F116" s="127" t="e">
        <f>+F2+F60+F68+F94+F14+F20+F30+F34+F38+F48+F100+F106+F110</f>
        <v>#N/A</v>
      </c>
      <c r="G116" s="127">
        <f>+G2+G14+G20+G30+G34+G38+G48+G60+G68+G94+G100+G106+G110</f>
        <v>0</v>
      </c>
      <c r="H116" s="127" t="e">
        <f>+H2+H14+H20+H30+H34+H38+H48+H60+H68+H94+H100+H106+H110</f>
        <v>#N/A</v>
      </c>
      <c r="I116" s="127" t="e">
        <f>IF(F116=0,"S/P",+H116/F116)</f>
        <v>#N/A</v>
      </c>
    </row>
    <row r="117" spans="1:9" s="63" customFormat="1" ht="10.5" customHeight="1"/>
    <row r="118" spans="1:9" s="63" customFormat="1" ht="16.5">
      <c r="A118" s="58" t="s">
        <v>104</v>
      </c>
      <c r="B118" s="59"/>
      <c r="C118" s="59"/>
      <c r="D118" s="59"/>
      <c r="E118" s="60"/>
      <c r="F118" s="61">
        <f>+SUM(F120:F126)</f>
        <v>0</v>
      </c>
      <c r="G118" s="61">
        <f>+SUM(G119:G127)</f>
        <v>0</v>
      </c>
      <c r="H118" s="61">
        <f>+SUM(H119:H127)</f>
        <v>0</v>
      </c>
      <c r="I118" s="62" t="str">
        <f>IF(F118=0,"S/P",+H118/F118)</f>
        <v>S/P</v>
      </c>
    </row>
    <row r="119" spans="1:9" s="63" customFormat="1" ht="9.75" customHeight="1"/>
    <row r="120" spans="1:9" s="12" customFormat="1" ht="12.75" hidden="1">
      <c r="A120" s="341" t="s">
        <v>105</v>
      </c>
      <c r="B120" s="341"/>
      <c r="C120" s="341"/>
      <c r="D120" s="341"/>
      <c r="E120" s="342"/>
      <c r="F120" s="343">
        <f>+'Centro 1'!F168+'Centro 2'!F169+'Centro 3'!F167+'Centro 4'!F167+'Centro 5'!F167</f>
        <v>0</v>
      </c>
      <c r="G120" s="343">
        <f>+'Centro 1'!G168+'Centro 2'!G169+'Centro 3'!G167+'Centro 4'!G167</f>
        <v>0</v>
      </c>
      <c r="H120" s="343">
        <f>+G120-F120</f>
        <v>0</v>
      </c>
      <c r="I120" s="344" t="str">
        <f>IF(F120=0,"S/P",+H120/F120)</f>
        <v>S/P</v>
      </c>
    </row>
    <row r="121" spans="1:9" s="15" customFormat="1" ht="12.75" hidden="1" customHeight="1">
      <c r="B121" s="25" t="s">
        <v>106</v>
      </c>
      <c r="E121" s="46"/>
      <c r="F121" s="84"/>
      <c r="G121" s="84"/>
      <c r="H121" s="84"/>
      <c r="I121" s="84"/>
    </row>
    <row r="122" spans="1:9" s="12" customFormat="1" ht="12.75" hidden="1">
      <c r="A122" s="341" t="s">
        <v>107</v>
      </c>
      <c r="B122" s="341"/>
      <c r="C122" s="341"/>
      <c r="D122" s="341"/>
      <c r="E122" s="342"/>
      <c r="F122" s="343">
        <f>+'Centro 1'!F170+'Centro 2'!F171+'Centro 3'!F169+'Centro 4'!F169+'Centro 5'!F169</f>
        <v>0</v>
      </c>
      <c r="G122" s="343">
        <f>+'Centro 1'!G170+'Centro 2'!G171+'Centro 3'!G169+'Centro 4'!G169</f>
        <v>0</v>
      </c>
      <c r="H122" s="343">
        <f>+G122-F122</f>
        <v>0</v>
      </c>
      <c r="I122" s="344" t="str">
        <f>IF(F122=0,"S/P",+H122/F122)</f>
        <v>S/P</v>
      </c>
    </row>
    <row r="123" spans="1:9" s="15" customFormat="1" ht="12.75" hidden="1" customHeight="1">
      <c r="B123" s="25" t="s">
        <v>108</v>
      </c>
      <c r="E123" s="46"/>
      <c r="F123" s="84"/>
      <c r="G123" s="84"/>
      <c r="H123" s="84"/>
      <c r="I123" s="84"/>
    </row>
    <row r="124" spans="1:9" s="12" customFormat="1" ht="12.75">
      <c r="A124" s="341" t="s">
        <v>109</v>
      </c>
      <c r="B124" s="341"/>
      <c r="C124" s="341"/>
      <c r="D124" s="341"/>
      <c r="E124" s="342"/>
      <c r="F124" s="343">
        <f>+'Centro 1'!F172+'Centro 2'!F173+'Centro 3'!F171+'Centro 4'!F171+'Centro 5'!F171</f>
        <v>0</v>
      </c>
      <c r="G124" s="343">
        <f>+'Centro 1'!G172+'Centro 2'!G173+'Centro 3'!G171+'Centro 4'!G171</f>
        <v>0</v>
      </c>
      <c r="H124" s="343">
        <f>+G124-F124</f>
        <v>0</v>
      </c>
      <c r="I124" s="344" t="str">
        <f>IF(F124=0,"S/P",+H124/F124)</f>
        <v>S/P</v>
      </c>
    </row>
    <row r="125" spans="1:9" s="15" customFormat="1" ht="12.75" customHeight="1">
      <c r="B125" s="25" t="s">
        <v>110</v>
      </c>
      <c r="E125" s="46"/>
      <c r="F125" s="84"/>
      <c r="G125" s="84"/>
      <c r="H125" s="84"/>
      <c r="I125" s="84"/>
    </row>
    <row r="126" spans="1:9" s="12" customFormat="1" ht="12.75" hidden="1">
      <c r="A126" s="341" t="s">
        <v>111</v>
      </c>
      <c r="B126" s="341"/>
      <c r="C126" s="341"/>
      <c r="D126" s="341"/>
      <c r="E126" s="342"/>
      <c r="F126" s="343">
        <f>+'Centro 1'!F174+'Centro 2'!F175+'Centro 3'!F173+'Centro 4'!F173+'Centro 5'!F173</f>
        <v>0</v>
      </c>
      <c r="G126" s="343">
        <f>+'Centro 1'!G174+'Centro 2'!G175+'Centro 3'!G173+'Centro 4'!G173</f>
        <v>0</v>
      </c>
      <c r="H126" s="343">
        <f>+G126-F126</f>
        <v>0</v>
      </c>
      <c r="I126" s="344" t="str">
        <f>IF(F126=0,"S/P",+H126/F126)</f>
        <v>S/P</v>
      </c>
    </row>
    <row r="127" spans="1:9" s="15" customFormat="1" ht="12.75" hidden="1" customHeight="1">
      <c r="B127" s="25" t="s">
        <v>112</v>
      </c>
      <c r="E127" s="46"/>
      <c r="F127" s="84"/>
      <c r="G127" s="84"/>
      <c r="H127" s="84"/>
      <c r="I127" s="84"/>
    </row>
    <row r="128" spans="1:9" s="133" customFormat="1" ht="16.5" hidden="1">
      <c r="A128" s="128" t="s">
        <v>113</v>
      </c>
      <c r="B128" s="129"/>
      <c r="C128" s="129"/>
      <c r="D128" s="129"/>
      <c r="E128" s="130"/>
      <c r="F128" s="131">
        <f>+SUM(F130:F136)</f>
        <v>0</v>
      </c>
      <c r="G128" s="131">
        <f>+SUM(G129:G137)</f>
        <v>0</v>
      </c>
      <c r="H128" s="131">
        <f>+SUM(H129:H137)</f>
        <v>0</v>
      </c>
      <c r="I128" s="132" t="str">
        <f>IF(F128=0,"S/P",+H128/F128)</f>
        <v>S/P</v>
      </c>
    </row>
    <row r="129" spans="1:9" s="133" customFormat="1" ht="9.75" hidden="1" customHeight="1"/>
    <row r="130" spans="1:9" s="138" customFormat="1" ht="12.75" hidden="1">
      <c r="A130" s="134" t="s">
        <v>114</v>
      </c>
      <c r="B130" s="134"/>
      <c r="C130" s="134"/>
      <c r="D130" s="134"/>
      <c r="E130" s="135"/>
      <c r="F130" s="72">
        <f>+'Centro 1'!F178+'Centro 2'!F179+'Centro 3'!F177+'Centro 4'!F177+'Centro 5'!F177</f>
        <v>0</v>
      </c>
      <c r="G130" s="72">
        <v>0</v>
      </c>
      <c r="H130" s="72">
        <f>+G130-F130</f>
        <v>0</v>
      </c>
      <c r="I130" s="73" t="str">
        <f>IF(F130=0,"S/P",+H130/F130)</f>
        <v>S/P</v>
      </c>
    </row>
    <row r="131" spans="1:9" s="139" customFormat="1" ht="12.75" hidden="1" customHeight="1">
      <c r="B131" s="140" t="s">
        <v>115</v>
      </c>
      <c r="E131" s="141"/>
      <c r="F131" s="142"/>
      <c r="G131" s="142"/>
      <c r="H131" s="142"/>
      <c r="I131" s="142"/>
    </row>
    <row r="132" spans="1:9" s="138" customFormat="1" ht="12.75" hidden="1">
      <c r="A132" s="134" t="s">
        <v>116</v>
      </c>
      <c r="B132" s="134"/>
      <c r="C132" s="134"/>
      <c r="D132" s="134"/>
      <c r="E132" s="135"/>
      <c r="F132" s="72">
        <f>+'Centro 1'!F180+'Centro 2'!F181+'Centro 3'!F179+'Centro 4'!F179+'Centro 5'!F179</f>
        <v>0</v>
      </c>
      <c r="G132" s="72">
        <v>0</v>
      </c>
      <c r="H132" s="72">
        <f>+G132-F132</f>
        <v>0</v>
      </c>
      <c r="I132" s="73" t="str">
        <f>IF(F132=0,"S/P",+H132/F132)</f>
        <v>S/P</v>
      </c>
    </row>
    <row r="133" spans="1:9" s="139" customFormat="1" ht="12.75" hidden="1" customHeight="1">
      <c r="B133" s="140" t="s">
        <v>117</v>
      </c>
      <c r="E133" s="141"/>
      <c r="F133" s="142"/>
      <c r="G133" s="142"/>
      <c r="H133" s="142"/>
      <c r="I133" s="142"/>
    </row>
    <row r="134" spans="1:9" s="138" customFormat="1" ht="12.75" hidden="1">
      <c r="A134" s="134" t="s">
        <v>118</v>
      </c>
      <c r="B134" s="134"/>
      <c r="C134" s="134"/>
      <c r="D134" s="134"/>
      <c r="E134" s="135"/>
      <c r="F134" s="72">
        <f>+'Centro 1'!F182+'Centro 2'!F183+'Centro 3'!F181+'Centro 4'!F181+'Centro 5'!F181</f>
        <v>0</v>
      </c>
      <c r="G134" s="72">
        <v>0</v>
      </c>
      <c r="H134" s="72">
        <f>+G134-F134</f>
        <v>0</v>
      </c>
      <c r="I134" s="73" t="str">
        <f>IF(F134=0,"S/P",+H134/F134)</f>
        <v>S/P</v>
      </c>
    </row>
    <row r="135" spans="1:9" s="139" customFormat="1" ht="12.75" hidden="1" customHeight="1">
      <c r="B135" s="140" t="s">
        <v>119</v>
      </c>
      <c r="E135" s="141"/>
      <c r="F135" s="142"/>
      <c r="G135" s="142"/>
      <c r="H135" s="142"/>
      <c r="I135" s="142"/>
    </row>
    <row r="136" spans="1:9" s="138" customFormat="1" ht="12.75" hidden="1">
      <c r="A136" s="134" t="s">
        <v>120</v>
      </c>
      <c r="B136" s="134"/>
      <c r="C136" s="134"/>
      <c r="D136" s="134"/>
      <c r="E136" s="135"/>
      <c r="F136" s="72">
        <f>+'Centro 1'!F184+'Centro 2'!F185+'Centro 3'!F183+'Centro 4'!F183+'Centro 5'!F183</f>
        <v>0</v>
      </c>
      <c r="G136" s="72">
        <v>0</v>
      </c>
      <c r="H136" s="72">
        <f>+G136-F136</f>
        <v>0</v>
      </c>
      <c r="I136" s="73" t="str">
        <f>IF(F136=0,"S/P",+H136/F136)</f>
        <v>S/P</v>
      </c>
    </row>
    <row r="137" spans="1:9" s="139" customFormat="1" ht="12.75" hidden="1" customHeight="1">
      <c r="B137" s="140" t="s">
        <v>121</v>
      </c>
      <c r="E137" s="141"/>
      <c r="F137" s="142"/>
      <c r="G137" s="142"/>
      <c r="H137" s="142"/>
      <c r="I137" s="142"/>
    </row>
    <row r="138" spans="1:9" s="63" customFormat="1" ht="16.5" hidden="1">
      <c r="A138" s="108" t="s">
        <v>122</v>
      </c>
      <c r="B138" s="109"/>
      <c r="C138" s="109"/>
      <c r="D138" s="109"/>
      <c r="E138" s="110"/>
      <c r="F138" s="111">
        <f>+F142+F140</f>
        <v>0</v>
      </c>
      <c r="G138" s="111">
        <f>+SUM(G139:G143)</f>
        <v>0</v>
      </c>
      <c r="H138" s="111">
        <f>+SUM(H139:H143)</f>
        <v>0</v>
      </c>
      <c r="I138" s="143" t="str">
        <f>IF(F138=0,"S/P",+H138/F138)</f>
        <v>S/P</v>
      </c>
    </row>
    <row r="139" spans="1:9" s="63" customFormat="1" ht="9.75" hidden="1" customHeight="1"/>
    <row r="140" spans="1:9" s="12" customFormat="1" ht="12.75" hidden="1">
      <c r="A140" s="134" t="s">
        <v>123</v>
      </c>
      <c r="B140" s="134"/>
      <c r="C140" s="341"/>
      <c r="D140" s="341"/>
      <c r="E140" s="342"/>
      <c r="F140" s="72">
        <f>+'Centro 1'!F188+'Centro 2'!F189+'Centro 3'!F187+'Centro 4'!F187+'Centro 5'!F187</f>
        <v>0</v>
      </c>
      <c r="G140" s="72">
        <v>0</v>
      </c>
      <c r="H140" s="72">
        <f>+G140-F140</f>
        <v>0</v>
      </c>
      <c r="I140" s="73" t="str">
        <f>IF(F140=0,"S/P",+H140/F140)</f>
        <v>S/P</v>
      </c>
    </row>
    <row r="141" spans="1:9" s="15" customFormat="1" ht="12.75" hidden="1" customHeight="1">
      <c r="A141" s="139"/>
      <c r="B141" s="140" t="s">
        <v>124</v>
      </c>
      <c r="E141" s="46"/>
      <c r="F141" s="84"/>
      <c r="G141" s="84"/>
      <c r="H141" s="84"/>
      <c r="I141" s="84"/>
    </row>
    <row r="142" spans="1:9" s="12" customFormat="1" ht="12.75" hidden="1">
      <c r="A142" s="341" t="s">
        <v>125</v>
      </c>
      <c r="B142" s="341"/>
      <c r="C142" s="341"/>
      <c r="D142" s="341"/>
      <c r="E142" s="342"/>
      <c r="F142" s="343">
        <f>+'Centro 1'!F190+'Centro 2'!F191+'Centro 3'!F189+'Centro 4'!F189+'Centro 5'!F189</f>
        <v>0</v>
      </c>
      <c r="G142" s="343">
        <f>+'Centro 1'!G190+'Centro 2'!G191+'Centro 3'!G189+'Centro 4'!G189</f>
        <v>0</v>
      </c>
      <c r="H142" s="343">
        <f>+G142-F142</f>
        <v>0</v>
      </c>
      <c r="I142" s="344" t="str">
        <f>IF(F142=0,"S/P",+H142/F142)</f>
        <v>S/P</v>
      </c>
    </row>
    <row r="143" spans="1:9" s="15" customFormat="1" ht="12.75" hidden="1" customHeight="1">
      <c r="B143" s="25" t="s">
        <v>126</v>
      </c>
      <c r="E143" s="46"/>
      <c r="F143" s="84"/>
      <c r="G143" s="84"/>
      <c r="H143" s="84"/>
      <c r="I143" s="84"/>
    </row>
    <row r="144" spans="1:9" s="63" customFormat="1" ht="16.5">
      <c r="A144" s="124" t="s">
        <v>127</v>
      </c>
      <c r="B144" s="125"/>
      <c r="C144" s="125"/>
      <c r="D144" s="125"/>
      <c r="E144" s="126"/>
      <c r="F144" s="127">
        <f>+F118+F128+F138</f>
        <v>0</v>
      </c>
      <c r="G144" s="127">
        <f>+G118+G128+G138</f>
        <v>0</v>
      </c>
      <c r="H144" s="127">
        <f>+H118+H128+H138</f>
        <v>0</v>
      </c>
      <c r="I144" s="127" t="str">
        <f>IF(F144=0,"S/P",+H144/F144)</f>
        <v>S/P</v>
      </c>
    </row>
    <row r="145" spans="1:11" s="63" customFormat="1" ht="14.25" customHeight="1"/>
    <row r="146" spans="1:11" s="63" customFormat="1" ht="16.5">
      <c r="A146" s="124" t="s">
        <v>128</v>
      </c>
      <c r="B146" s="125"/>
      <c r="C146" s="125"/>
      <c r="D146" s="125"/>
      <c r="E146" s="126"/>
      <c r="F146" s="127" t="e">
        <f>+F116+F144</f>
        <v>#N/A</v>
      </c>
      <c r="G146" s="127">
        <f>+G116+G144</f>
        <v>0</v>
      </c>
      <c r="H146" s="127" t="e">
        <f>+H116+H144</f>
        <v>#N/A</v>
      </c>
      <c r="I146" s="127" t="e">
        <f>IF(F146=0,"S/P",+H146/F146)</f>
        <v>#N/A</v>
      </c>
      <c r="K146" s="233"/>
    </row>
    <row r="147" spans="1:11" s="63" customFormat="1" ht="20.25" customHeight="1"/>
    <row r="148" spans="1:11" ht="18">
      <c r="A148" s="1"/>
      <c r="F148" s="43"/>
      <c r="G148" s="43"/>
      <c r="H148" s="43"/>
      <c r="I148" s="43"/>
    </row>
    <row r="149" spans="1:11">
      <c r="D149" s="349" t="s">
        <v>129</v>
      </c>
      <c r="F149" s="45" t="s">
        <v>0</v>
      </c>
      <c r="G149" s="45" t="s">
        <v>1</v>
      </c>
      <c r="H149" s="45" t="s">
        <v>2</v>
      </c>
      <c r="I149" s="45" t="s">
        <v>130</v>
      </c>
    </row>
    <row r="150" spans="1:11">
      <c r="D150" s="86" t="s">
        <v>131</v>
      </c>
      <c r="E150" s="87"/>
      <c r="F150" s="88">
        <f>+F2+F14+IF(F30&gt;0,F30,0)+F34+F48+F100+F106+IF(F110&gt;0,F110,0)+F118+IF(F138&gt;0,F138,0)</f>
        <v>0</v>
      </c>
      <c r="G150" s="88">
        <f>+G2+G14+IF(G30&gt;0,G30,0)+G34+G48+G100+G106+IF(G110&gt;0,G110,0)+G118+IF(G138&gt;0,G138,0)</f>
        <v>0</v>
      </c>
      <c r="H150" s="88">
        <f>+G150-F150</f>
        <v>0</v>
      </c>
      <c r="I150" s="151" t="str">
        <f>IF(F150=0,"S/P",+H150/F150)</f>
        <v>S/P</v>
      </c>
      <c r="J150" s="307">
        <f>+'Amort-Sub K'!O245+'Anexo Ingresos'!M126-F150</f>
        <v>0</v>
      </c>
    </row>
    <row r="151" spans="1:11">
      <c r="D151" s="86" t="s">
        <v>132</v>
      </c>
      <c r="E151" s="87"/>
      <c r="F151" s="88" t="e">
        <f>-F20-IF(F30&lt;0,F30,0)-F38-F60-F68-F94-IF(F110&lt;0,F110,0)-F128-IF(F138&lt;0,F138,0)</f>
        <v>#N/A</v>
      </c>
      <c r="G151" s="88">
        <f>-G20-IF(G30&lt;0,G30,0)-G38-G60-G68-G94-IF(G110&lt;0,G110,0)-G128-IF(G138&lt;0,G138,0)</f>
        <v>0</v>
      </c>
      <c r="H151" s="88" t="e">
        <f t="shared" ref="H151:H152" si="3">+G151-F151</f>
        <v>#N/A</v>
      </c>
      <c r="I151" s="151" t="e">
        <f t="shared" ref="I151:I152" si="4">IF(F151=0,"S/P",+H151/F151)</f>
        <v>#N/A</v>
      </c>
      <c r="J151" s="303" t="e">
        <f>+F151-('Gastos de Persoal'!R168+'Gastos de Persoal'!S168+'Amort-Sub K'!G245+'Anexo Gastos '!M303)</f>
        <v>#N/A</v>
      </c>
    </row>
    <row r="152" spans="1:11">
      <c r="D152" s="86" t="s">
        <v>133</v>
      </c>
      <c r="E152" s="87"/>
      <c r="F152" s="88" t="e">
        <f>F150-F151</f>
        <v>#N/A</v>
      </c>
      <c r="G152" s="88">
        <f>G150-G151</f>
        <v>0</v>
      </c>
      <c r="H152" s="88" t="e">
        <f t="shared" si="3"/>
        <v>#N/A</v>
      </c>
      <c r="I152" s="151" t="e">
        <f t="shared" si="4"/>
        <v>#N/A</v>
      </c>
    </row>
    <row r="154" spans="1:11">
      <c r="F154" s="271">
        <f>+F150-F100</f>
        <v>0</v>
      </c>
    </row>
  </sheetData>
  <conditionalFormatting sqref="F116:I116 F146:I146">
    <cfRule type="cellIs" dxfId="41" priority="8" stopIfTrue="1" operator="lessThan">
      <formula>0</formula>
    </cfRule>
  </conditionalFormatting>
  <conditionalFormatting sqref="A146">
    <cfRule type="expression" dxfId="40" priority="7" stopIfTrue="1">
      <formula>$F$146&lt;0</formula>
    </cfRule>
  </conditionalFormatting>
  <conditionalFormatting sqref="A116">
    <cfRule type="expression" dxfId="39" priority="6" stopIfTrue="1">
      <formula>$F$116&lt;0</formula>
    </cfRule>
  </conditionalFormatting>
  <conditionalFormatting sqref="F144:I144">
    <cfRule type="cellIs" dxfId="38" priority="5" stopIfTrue="1" operator="lessThan">
      <formula>0</formula>
    </cfRule>
  </conditionalFormatting>
  <conditionalFormatting sqref="A144">
    <cfRule type="expression" dxfId="37" priority="4" stopIfTrue="1">
      <formula>$F$116&lt;0</formula>
    </cfRule>
  </conditionalFormatting>
  <conditionalFormatting sqref="F146:I146">
    <cfRule type="cellIs" dxfId="36" priority="3" stopIfTrue="1" operator="lessThan">
      <formula>0</formula>
    </cfRule>
  </conditionalFormatting>
  <conditionalFormatting sqref="A146">
    <cfRule type="expression" dxfId="35" priority="2" stopIfTrue="1">
      <formula>$F$116&lt;0</formula>
    </cfRule>
  </conditionalFormatting>
  <pageMargins left="1.2204724409448819" right="0.31496062992125984" top="0.82677165354330717" bottom="0.55118110236220474" header="0.35433070866141736" footer="0.55118110236220474"/>
  <pageSetup paperSize="9" scale="62" orientation="portrait" r:id="rId1"/>
  <headerFooter alignWithMargins="0">
    <oddHeader>&amp;C&amp;20Presupuesto Global 
Asociación xx Ejercicio 2.0XX</oddHeader>
    <oddFooter>&amp;R&amp;P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59999389629810485"/>
    <pageSetUpPr fitToPage="1"/>
  </sheetPr>
  <dimension ref="A1:N114"/>
  <sheetViews>
    <sheetView topLeftCell="A88" zoomScaleNormal="100" workbookViewId="0">
      <selection activeCell="L105" sqref="L105"/>
    </sheetView>
  </sheetViews>
  <sheetFormatPr defaultColWidth="11.42578125" defaultRowHeight="15.75"/>
  <cols>
    <col min="1" max="1" width="3.140625" style="242" customWidth="1"/>
    <col min="2" max="2" width="27.7109375" style="242" bestFit="1" customWidth="1"/>
    <col min="3" max="3" width="4.140625" style="242" bestFit="1" customWidth="1"/>
    <col min="4" max="4" width="12.42578125" style="242" bestFit="1" customWidth="1"/>
    <col min="5" max="5" width="21.140625" style="177" customWidth="1"/>
    <col min="6" max="6" width="13.140625" style="5" bestFit="1" customWidth="1"/>
    <col min="7" max="7" width="17.7109375" style="5" customWidth="1"/>
    <col min="8" max="8" width="34.28515625" style="5" bestFit="1" customWidth="1"/>
    <col min="9" max="9" width="10.85546875" style="242" bestFit="1" customWidth="1"/>
    <col min="10" max="16384" width="11.42578125" style="242"/>
  </cols>
  <sheetData>
    <row r="1" spans="1:14" ht="9.75" customHeight="1">
      <c r="A1" s="175"/>
      <c r="B1" s="175"/>
      <c r="C1" s="175"/>
      <c r="D1" s="175"/>
      <c r="E1" s="176"/>
      <c r="F1" s="33"/>
      <c r="G1" s="33"/>
      <c r="H1" s="33"/>
      <c r="I1" s="175"/>
      <c r="J1" s="175"/>
    </row>
    <row r="2" spans="1:14" ht="9.75" customHeight="1"/>
    <row r="3" spans="1:14" ht="17.25" customHeight="1">
      <c r="A3" s="168" t="s">
        <v>364</v>
      </c>
      <c r="F3" s="293"/>
      <c r="H3" s="172"/>
      <c r="I3" s="173"/>
    </row>
    <row r="4" spans="1:14" ht="8.25" customHeight="1">
      <c r="I4" s="178"/>
    </row>
    <row r="5" spans="1:14" s="245" customFormat="1" ht="12.75">
      <c r="B5" s="297" t="s">
        <v>365</v>
      </c>
      <c r="C5" s="179" t="s">
        <v>366</v>
      </c>
      <c r="D5" s="179" t="s">
        <v>367</v>
      </c>
      <c r="E5" s="180" t="s">
        <v>368</v>
      </c>
      <c r="F5" s="181" t="s">
        <v>369</v>
      </c>
      <c r="G5" s="179" t="s">
        <v>370</v>
      </c>
      <c r="H5" s="263" t="s">
        <v>371</v>
      </c>
      <c r="I5" s="292">
        <v>1.6E-2</v>
      </c>
    </row>
    <row r="6" spans="1:14" ht="15" customHeight="1">
      <c r="A6" s="245">
        <v>1</v>
      </c>
      <c r="B6" s="296"/>
      <c r="D6" s="317"/>
      <c r="E6" s="248"/>
      <c r="F6" s="182">
        <f>+D6*12</f>
        <v>0</v>
      </c>
      <c r="G6" s="182">
        <f>E6*12</f>
        <v>0</v>
      </c>
      <c r="H6" s="242"/>
      <c r="J6" s="294"/>
      <c r="K6" s="294"/>
      <c r="L6" s="294"/>
    </row>
    <row r="7" spans="1:14" ht="15" customHeight="1">
      <c r="A7" s="245">
        <v>2</v>
      </c>
      <c r="B7" s="296"/>
      <c r="D7" s="317"/>
      <c r="E7" s="248"/>
      <c r="F7" s="182">
        <f t="shared" ref="F7:F12" si="0">+D7*12</f>
        <v>0</v>
      </c>
      <c r="G7" s="182">
        <f t="shared" ref="G7:G19" si="1">E7*12</f>
        <v>0</v>
      </c>
      <c r="H7" s="242"/>
      <c r="J7" s="316"/>
      <c r="K7" s="318"/>
      <c r="L7" s="318"/>
    </row>
    <row r="8" spans="1:14" ht="15" customHeight="1">
      <c r="A8" s="245">
        <v>3</v>
      </c>
      <c r="B8" s="296"/>
      <c r="D8" s="317"/>
      <c r="E8" s="248"/>
      <c r="F8" s="182">
        <f t="shared" si="0"/>
        <v>0</v>
      </c>
      <c r="G8" s="182">
        <f t="shared" si="1"/>
        <v>0</v>
      </c>
      <c r="H8" s="178"/>
      <c r="I8" s="315"/>
      <c r="J8" s="294"/>
      <c r="K8" s="294"/>
      <c r="L8" s="294"/>
      <c r="M8" s="295"/>
      <c r="N8" s="295"/>
    </row>
    <row r="9" spans="1:14" ht="15" customHeight="1">
      <c r="A9" s="245">
        <v>4</v>
      </c>
      <c r="B9" s="296"/>
      <c r="D9" s="317"/>
      <c r="E9" s="248"/>
      <c r="F9" s="182">
        <f>+D9*12</f>
        <v>0</v>
      </c>
      <c r="G9" s="182">
        <f t="shared" si="1"/>
        <v>0</v>
      </c>
      <c r="H9" s="178"/>
      <c r="I9" s="315"/>
      <c r="J9" s="294"/>
      <c r="K9" s="294"/>
      <c r="L9" s="294"/>
    </row>
    <row r="10" spans="1:14" ht="15" customHeight="1">
      <c r="A10" s="245">
        <v>5</v>
      </c>
      <c r="B10" s="296"/>
      <c r="D10" s="317"/>
      <c r="E10" s="248"/>
      <c r="F10" s="182">
        <f t="shared" si="0"/>
        <v>0</v>
      </c>
      <c r="G10" s="182">
        <f t="shared" si="1"/>
        <v>0</v>
      </c>
      <c r="H10" s="242"/>
      <c r="J10" s="294"/>
      <c r="K10" s="294"/>
      <c r="L10" s="294"/>
    </row>
    <row r="11" spans="1:14" ht="15" customHeight="1">
      <c r="A11" s="245">
        <v>6</v>
      </c>
      <c r="B11" s="296"/>
      <c r="D11" s="317"/>
      <c r="E11" s="248"/>
      <c r="F11" s="182">
        <f t="shared" si="0"/>
        <v>0</v>
      </c>
      <c r="G11" s="182">
        <f t="shared" si="1"/>
        <v>0</v>
      </c>
      <c r="H11" s="242"/>
      <c r="J11" s="294"/>
      <c r="K11" s="294"/>
      <c r="L11" s="294"/>
    </row>
    <row r="12" spans="1:14" ht="15" customHeight="1">
      <c r="A12" s="245">
        <v>7</v>
      </c>
      <c r="B12" s="296"/>
      <c r="D12" s="317"/>
      <c r="E12" s="248"/>
      <c r="F12" s="182">
        <f t="shared" si="0"/>
        <v>0</v>
      </c>
      <c r="G12" s="182">
        <f t="shared" si="1"/>
        <v>0</v>
      </c>
      <c r="H12" s="242"/>
      <c r="J12" s="294"/>
      <c r="K12" s="294"/>
      <c r="L12" s="294"/>
    </row>
    <row r="13" spans="1:14" ht="15" customHeight="1">
      <c r="A13" s="245">
        <v>8</v>
      </c>
      <c r="B13" s="296"/>
      <c r="D13" s="317"/>
      <c r="E13" s="248"/>
      <c r="F13" s="182">
        <f>+D13*12</f>
        <v>0</v>
      </c>
      <c r="G13" s="182">
        <f t="shared" si="1"/>
        <v>0</v>
      </c>
      <c r="H13" s="242"/>
      <c r="J13" s="294"/>
      <c r="K13" s="294"/>
      <c r="L13" s="294"/>
    </row>
    <row r="14" spans="1:14" ht="15" customHeight="1">
      <c r="A14" s="245">
        <v>9</v>
      </c>
      <c r="B14" s="296"/>
      <c r="D14" s="317"/>
      <c r="E14" s="248"/>
      <c r="F14" s="182">
        <f t="shared" ref="F14" si="2">+D14*12</f>
        <v>0</v>
      </c>
      <c r="G14" s="182">
        <f t="shared" si="1"/>
        <v>0</v>
      </c>
      <c r="H14" s="242"/>
      <c r="J14" s="294"/>
      <c r="K14" s="294"/>
      <c r="L14" s="294"/>
    </row>
    <row r="15" spans="1:14" ht="15" customHeight="1">
      <c r="A15" s="245">
        <v>10</v>
      </c>
      <c r="B15" s="296"/>
      <c r="D15" s="317"/>
      <c r="E15" s="248"/>
      <c r="F15" s="182">
        <f>+D15*12</f>
        <v>0</v>
      </c>
      <c r="G15" s="182">
        <f t="shared" si="1"/>
        <v>0</v>
      </c>
      <c r="H15" s="242"/>
      <c r="J15" s="294"/>
      <c r="K15" s="294"/>
      <c r="L15" s="294"/>
    </row>
    <row r="16" spans="1:14" ht="15" customHeight="1">
      <c r="A16" s="245">
        <v>11</v>
      </c>
      <c r="B16" s="296"/>
      <c r="D16" s="317"/>
      <c r="E16" s="248"/>
      <c r="F16" s="182">
        <f t="shared" ref="F16:F19" si="3">+D16*12</f>
        <v>0</v>
      </c>
      <c r="G16" s="182">
        <f t="shared" si="1"/>
        <v>0</v>
      </c>
      <c r="H16" s="242"/>
      <c r="J16" s="294"/>
      <c r="K16" s="294"/>
      <c r="L16" s="294"/>
    </row>
    <row r="17" spans="1:12" ht="15" customHeight="1">
      <c r="A17" s="245">
        <v>12</v>
      </c>
      <c r="B17" s="296"/>
      <c r="D17" s="317"/>
      <c r="E17" s="248"/>
      <c r="F17" s="182">
        <f t="shared" si="3"/>
        <v>0</v>
      </c>
      <c r="G17" s="182">
        <f t="shared" si="1"/>
        <v>0</v>
      </c>
      <c r="H17" s="242"/>
      <c r="J17" s="294"/>
      <c r="K17" s="294"/>
      <c r="L17" s="294"/>
    </row>
    <row r="18" spans="1:12" ht="15" customHeight="1">
      <c r="A18" s="245">
        <v>13</v>
      </c>
      <c r="B18" s="296"/>
      <c r="D18" s="317"/>
      <c r="E18" s="248"/>
      <c r="F18" s="182">
        <f t="shared" si="3"/>
        <v>0</v>
      </c>
      <c r="G18" s="182">
        <f t="shared" si="1"/>
        <v>0</v>
      </c>
      <c r="H18" s="242"/>
      <c r="J18" s="294"/>
      <c r="K18" s="294"/>
      <c r="L18" s="294"/>
    </row>
    <row r="19" spans="1:12" ht="15" customHeight="1">
      <c r="A19" s="245">
        <v>14</v>
      </c>
      <c r="B19" s="298"/>
      <c r="D19" s="317"/>
      <c r="E19" s="248"/>
      <c r="F19" s="182">
        <f t="shared" si="3"/>
        <v>0</v>
      </c>
      <c r="G19" s="182">
        <f t="shared" si="1"/>
        <v>0</v>
      </c>
      <c r="H19" s="242"/>
      <c r="J19" s="294"/>
      <c r="K19" s="294"/>
      <c r="L19" s="294"/>
    </row>
    <row r="20" spans="1:12" ht="15" customHeight="1">
      <c r="A20" s="246"/>
      <c r="E20" s="184" t="s">
        <v>320</v>
      </c>
      <c r="F20" s="183">
        <f>SUM(F6:F19)</f>
        <v>0</v>
      </c>
      <c r="G20" s="183">
        <f>SUM(G6:G19)</f>
        <v>0</v>
      </c>
      <c r="H20" s="242"/>
    </row>
    <row r="21" spans="1:12" ht="17.25" customHeight="1">
      <c r="A21" s="246"/>
    </row>
    <row r="22" spans="1:12" customFormat="1" ht="8.25" customHeight="1">
      <c r="A22" s="31"/>
      <c r="B22" s="31"/>
      <c r="C22" s="31"/>
      <c r="D22" s="31"/>
      <c r="E22" s="32"/>
      <c r="F22" s="33"/>
      <c r="G22" s="33"/>
      <c r="H22" s="33"/>
    </row>
    <row r="23" spans="1:12" customFormat="1">
      <c r="E23" s="4"/>
      <c r="F23" s="5"/>
      <c r="G23" s="5"/>
      <c r="H23" s="5"/>
    </row>
    <row r="24" spans="1:12" customFormat="1" ht="15.95" customHeight="1">
      <c r="A24" s="13" t="s">
        <v>372</v>
      </c>
      <c r="E24" s="4"/>
      <c r="F24" s="5"/>
      <c r="G24" s="174"/>
      <c r="H24" s="293"/>
    </row>
    <row r="25" spans="1:12" customFormat="1" ht="15.95" customHeight="1">
      <c r="E25" s="4"/>
      <c r="F25" s="5"/>
      <c r="G25" s="5"/>
      <c r="H25" s="5"/>
    </row>
    <row r="26" spans="1:12" s="25" customFormat="1" ht="15.95" customHeight="1">
      <c r="B26" s="297" t="s">
        <v>365</v>
      </c>
      <c r="C26" s="179" t="s">
        <v>366</v>
      </c>
      <c r="D26" s="179" t="s">
        <v>367</v>
      </c>
      <c r="E26" s="180" t="s">
        <v>368</v>
      </c>
      <c r="F26" s="181" t="s">
        <v>369</v>
      </c>
      <c r="G26" s="179" t="s">
        <v>370</v>
      </c>
      <c r="I26"/>
      <c r="J26"/>
      <c r="K26"/>
    </row>
    <row r="27" spans="1:12" customFormat="1" ht="15" customHeight="1">
      <c r="A27" s="25">
        <v>1</v>
      </c>
      <c r="B27" s="299"/>
      <c r="C27" s="244"/>
      <c r="D27" s="40"/>
      <c r="E27" s="42"/>
      <c r="F27" s="42">
        <f>+D27*12</f>
        <v>0</v>
      </c>
      <c r="G27" s="42">
        <f>E27*12</f>
        <v>0</v>
      </c>
    </row>
    <row r="28" spans="1:12" customFormat="1" ht="15" customHeight="1">
      <c r="A28" s="25">
        <v>2</v>
      </c>
      <c r="B28" s="299"/>
      <c r="C28" s="244"/>
      <c r="D28" s="40"/>
      <c r="E28" s="42"/>
      <c r="F28" s="42">
        <f t="shared" ref="F28:F33" si="4">+D28*12</f>
        <v>0</v>
      </c>
      <c r="G28" s="42">
        <f t="shared" ref="G28:G43" si="5">E28*12</f>
        <v>0</v>
      </c>
    </row>
    <row r="29" spans="1:12" customFormat="1" ht="15" customHeight="1">
      <c r="A29" s="25">
        <v>3</v>
      </c>
      <c r="B29" s="299"/>
      <c r="C29" s="244"/>
      <c r="D29" s="40"/>
      <c r="E29" s="42"/>
      <c r="F29" s="42">
        <f t="shared" si="4"/>
        <v>0</v>
      </c>
      <c r="G29" s="42">
        <f t="shared" si="5"/>
        <v>0</v>
      </c>
    </row>
    <row r="30" spans="1:12" customFormat="1" ht="15" customHeight="1">
      <c r="A30" s="25">
        <v>4</v>
      </c>
      <c r="B30" s="299"/>
      <c r="C30" s="244"/>
      <c r="D30" s="40"/>
      <c r="E30" s="42"/>
      <c r="F30" s="42">
        <f t="shared" si="4"/>
        <v>0</v>
      </c>
      <c r="G30" s="42">
        <f t="shared" si="5"/>
        <v>0</v>
      </c>
    </row>
    <row r="31" spans="1:12" customFormat="1" ht="15" customHeight="1">
      <c r="A31" s="25">
        <v>5</v>
      </c>
      <c r="B31" s="299"/>
      <c r="C31" s="244"/>
      <c r="D31" s="40"/>
      <c r="E31" s="42"/>
      <c r="F31" s="42">
        <f t="shared" si="4"/>
        <v>0</v>
      </c>
      <c r="G31" s="42">
        <f t="shared" si="5"/>
        <v>0</v>
      </c>
    </row>
    <row r="32" spans="1:12" customFormat="1" ht="15" customHeight="1">
      <c r="A32" s="25">
        <v>6</v>
      </c>
      <c r="B32" s="299"/>
      <c r="C32" s="244"/>
      <c r="D32" s="40"/>
      <c r="E32" s="42"/>
      <c r="F32" s="42">
        <f t="shared" si="4"/>
        <v>0</v>
      </c>
      <c r="G32" s="42">
        <f t="shared" si="5"/>
        <v>0</v>
      </c>
    </row>
    <row r="33" spans="1:10" customFormat="1" ht="15" customHeight="1">
      <c r="A33" s="25">
        <v>7</v>
      </c>
      <c r="B33" s="299"/>
      <c r="C33" s="244"/>
      <c r="D33" s="40"/>
      <c r="E33" s="42"/>
      <c r="F33" s="42">
        <f t="shared" si="4"/>
        <v>0</v>
      </c>
      <c r="G33" s="42">
        <f t="shared" si="5"/>
        <v>0</v>
      </c>
    </row>
    <row r="34" spans="1:10" customFormat="1" ht="15" customHeight="1">
      <c r="A34" s="25">
        <v>8</v>
      </c>
      <c r="B34" s="299"/>
      <c r="C34" s="244"/>
      <c r="D34" s="40"/>
      <c r="E34" s="42"/>
      <c r="F34" s="42">
        <f>+D34*12</f>
        <v>0</v>
      </c>
      <c r="G34" s="42">
        <f t="shared" si="5"/>
        <v>0</v>
      </c>
    </row>
    <row r="35" spans="1:10" customFormat="1" ht="15" customHeight="1">
      <c r="A35" s="25">
        <v>9</v>
      </c>
      <c r="B35" s="299"/>
      <c r="C35" s="244"/>
      <c r="D35" s="40"/>
      <c r="E35" s="42"/>
      <c r="F35" s="42">
        <f>+D35*12</f>
        <v>0</v>
      </c>
      <c r="G35" s="42">
        <f t="shared" si="5"/>
        <v>0</v>
      </c>
    </row>
    <row r="36" spans="1:10" customFormat="1" ht="15" customHeight="1">
      <c r="A36" s="25">
        <v>10</v>
      </c>
      <c r="B36" s="299"/>
      <c r="C36" s="244"/>
      <c r="D36" s="40"/>
      <c r="E36" s="42"/>
      <c r="F36" s="42">
        <f>+D36*12</f>
        <v>0</v>
      </c>
      <c r="G36" s="42">
        <f t="shared" si="5"/>
        <v>0</v>
      </c>
    </row>
    <row r="37" spans="1:10" customFormat="1" ht="15" customHeight="1">
      <c r="A37" s="25">
        <v>11</v>
      </c>
      <c r="B37" s="299"/>
      <c r="C37" s="244"/>
      <c r="D37" s="40"/>
      <c r="E37" s="42"/>
      <c r="F37" s="42">
        <f t="shared" ref="F37:F43" si="6">+D37*12</f>
        <v>0</v>
      </c>
      <c r="G37" s="42">
        <f t="shared" si="5"/>
        <v>0</v>
      </c>
    </row>
    <row r="38" spans="1:10" customFormat="1" ht="15" customHeight="1">
      <c r="A38" s="25">
        <v>12</v>
      </c>
      <c r="B38" s="299"/>
      <c r="C38" s="244"/>
      <c r="D38" s="40"/>
      <c r="E38" s="42"/>
      <c r="F38" s="42">
        <f t="shared" si="6"/>
        <v>0</v>
      </c>
      <c r="G38" s="42">
        <f t="shared" si="5"/>
        <v>0</v>
      </c>
    </row>
    <row r="39" spans="1:10" customFormat="1" ht="15" customHeight="1">
      <c r="A39" s="25">
        <v>13</v>
      </c>
      <c r="B39" s="299"/>
      <c r="C39" s="244"/>
      <c r="D39" s="40"/>
      <c r="E39" s="42"/>
      <c r="F39" s="42">
        <f t="shared" si="6"/>
        <v>0</v>
      </c>
      <c r="G39" s="42">
        <f t="shared" si="5"/>
        <v>0</v>
      </c>
    </row>
    <row r="40" spans="1:10" customFormat="1" ht="15" customHeight="1">
      <c r="A40" s="25">
        <v>14</v>
      </c>
      <c r="B40" s="300"/>
      <c r="C40" s="244"/>
      <c r="D40" s="40"/>
      <c r="E40" s="42"/>
      <c r="F40" s="42">
        <f t="shared" si="6"/>
        <v>0</v>
      </c>
      <c r="G40" s="42">
        <f t="shared" si="5"/>
        <v>0</v>
      </c>
    </row>
    <row r="41" spans="1:10" customFormat="1" ht="15" customHeight="1">
      <c r="A41" s="25">
        <v>15</v>
      </c>
      <c r="B41" s="299"/>
      <c r="C41" s="244"/>
      <c r="D41" s="40"/>
      <c r="E41" s="42"/>
      <c r="F41" s="42">
        <f t="shared" si="6"/>
        <v>0</v>
      </c>
      <c r="G41" s="42">
        <f t="shared" si="5"/>
        <v>0</v>
      </c>
    </row>
    <row r="42" spans="1:10" customFormat="1" ht="15" customHeight="1">
      <c r="A42" s="25">
        <v>16</v>
      </c>
      <c r="B42" s="299"/>
      <c r="C42" s="244"/>
      <c r="D42" s="40"/>
      <c r="E42" s="42"/>
      <c r="F42" s="42">
        <f t="shared" si="6"/>
        <v>0</v>
      </c>
      <c r="G42" s="42">
        <f t="shared" si="5"/>
        <v>0</v>
      </c>
    </row>
    <row r="43" spans="1:10" customFormat="1" ht="15" customHeight="1">
      <c r="A43" s="25">
        <v>17</v>
      </c>
      <c r="B43" s="299"/>
      <c r="C43" s="244"/>
      <c r="D43" s="40"/>
      <c r="E43" s="42"/>
      <c r="F43" s="42">
        <f t="shared" si="6"/>
        <v>0</v>
      </c>
      <c r="G43" s="42">
        <f t="shared" si="5"/>
        <v>0</v>
      </c>
    </row>
    <row r="44" spans="1:10" ht="15" customHeight="1">
      <c r="A44" s="246"/>
      <c r="B44" s="185"/>
      <c r="D44" s="41"/>
      <c r="E44" s="241" t="s">
        <v>320</v>
      </c>
      <c r="F44" s="41">
        <f>SUM(F27:F43)</f>
        <v>0</v>
      </c>
      <c r="G44" s="41">
        <f>SUM(G27:G43)</f>
        <v>0</v>
      </c>
      <c r="H44" s="242"/>
    </row>
    <row r="45" spans="1:10" ht="15.95" customHeight="1">
      <c r="A45" s="246"/>
    </row>
    <row r="46" spans="1:10" ht="15.95" customHeight="1">
      <c r="A46" s="175"/>
      <c r="B46" s="175"/>
      <c r="C46" s="175"/>
      <c r="D46" s="175"/>
      <c r="E46" s="176"/>
      <c r="F46" s="33"/>
      <c r="G46" s="33"/>
      <c r="H46" s="33"/>
      <c r="I46" s="175"/>
      <c r="J46" s="175"/>
    </row>
    <row r="47" spans="1:10" ht="15.95" customHeight="1"/>
    <row r="48" spans="1:10" ht="15.95" customHeight="1">
      <c r="A48" s="168" t="s">
        <v>373</v>
      </c>
      <c r="G48" s="174"/>
      <c r="H48" s="293"/>
    </row>
    <row r="49" spans="1:10" s="245" customFormat="1" ht="15.95" customHeight="1">
      <c r="A49" s="242"/>
      <c r="B49" s="242"/>
      <c r="C49" s="242"/>
      <c r="D49" s="242"/>
      <c r="E49" s="177"/>
      <c r="F49" s="5"/>
      <c r="G49" s="5"/>
      <c r="H49" s="5"/>
      <c r="I49" s="178"/>
      <c r="J49" s="242"/>
    </row>
    <row r="50" spans="1:10" ht="15.95" customHeight="1">
      <c r="A50" s="245"/>
      <c r="B50" s="297" t="s">
        <v>365</v>
      </c>
      <c r="C50" s="179" t="s">
        <v>366</v>
      </c>
      <c r="D50" s="179" t="s">
        <v>367</v>
      </c>
      <c r="E50" s="180" t="s">
        <v>368</v>
      </c>
      <c r="F50" s="181" t="s">
        <v>369</v>
      </c>
      <c r="G50" s="179" t="s">
        <v>370</v>
      </c>
      <c r="I50" s="173"/>
      <c r="J50" s="245"/>
    </row>
    <row r="51" spans="1:10" ht="15" customHeight="1">
      <c r="A51" s="245">
        <v>1</v>
      </c>
      <c r="B51" s="245"/>
      <c r="D51" s="40"/>
      <c r="E51" s="42"/>
      <c r="F51" s="42">
        <f t="shared" ref="F51:F56" si="7">+D51*12</f>
        <v>0</v>
      </c>
      <c r="G51" s="42">
        <f t="shared" ref="G51:G74" si="8">E51*12</f>
        <v>0</v>
      </c>
    </row>
    <row r="52" spans="1:10" ht="15" customHeight="1">
      <c r="A52" s="245">
        <v>2</v>
      </c>
      <c r="B52" s="245"/>
      <c r="D52" s="40"/>
      <c r="E52" s="42"/>
      <c r="F52" s="42">
        <f t="shared" si="7"/>
        <v>0</v>
      </c>
      <c r="G52" s="42">
        <f t="shared" si="8"/>
        <v>0</v>
      </c>
    </row>
    <row r="53" spans="1:10" ht="15" customHeight="1">
      <c r="A53" s="245">
        <v>3</v>
      </c>
      <c r="B53" s="301"/>
      <c r="D53" s="40"/>
      <c r="E53" s="42"/>
      <c r="F53" s="42">
        <f t="shared" si="7"/>
        <v>0</v>
      </c>
      <c r="G53" s="42">
        <f t="shared" si="8"/>
        <v>0</v>
      </c>
    </row>
    <row r="54" spans="1:10" ht="15" customHeight="1">
      <c r="A54" s="245">
        <v>4</v>
      </c>
      <c r="B54" s="301"/>
      <c r="D54" s="40"/>
      <c r="E54" s="42"/>
      <c r="F54" s="42">
        <f t="shared" si="7"/>
        <v>0</v>
      </c>
      <c r="G54" s="42">
        <f t="shared" si="8"/>
        <v>0</v>
      </c>
    </row>
    <row r="55" spans="1:10" ht="15" customHeight="1">
      <c r="A55" s="245">
        <v>5</v>
      </c>
      <c r="B55" s="245"/>
      <c r="D55" s="40"/>
      <c r="E55" s="42"/>
      <c r="F55" s="42">
        <f t="shared" si="7"/>
        <v>0</v>
      </c>
      <c r="G55" s="42">
        <f t="shared" si="8"/>
        <v>0</v>
      </c>
    </row>
    <row r="56" spans="1:10" ht="15" customHeight="1">
      <c r="A56" s="245">
        <v>6</v>
      </c>
      <c r="B56" s="245"/>
      <c r="D56" s="40"/>
      <c r="E56" s="42"/>
      <c r="F56" s="42">
        <f t="shared" si="7"/>
        <v>0</v>
      </c>
      <c r="G56" s="42">
        <f t="shared" si="8"/>
        <v>0</v>
      </c>
    </row>
    <row r="57" spans="1:10" ht="15" customHeight="1">
      <c r="A57" s="245">
        <v>7</v>
      </c>
      <c r="B57" s="245"/>
      <c r="D57" s="40"/>
      <c r="E57" s="42"/>
      <c r="F57" s="42">
        <f>+D57*12</f>
        <v>0</v>
      </c>
      <c r="G57" s="42">
        <f t="shared" si="8"/>
        <v>0</v>
      </c>
    </row>
    <row r="58" spans="1:10" ht="15" customHeight="1">
      <c r="A58" s="245">
        <v>8</v>
      </c>
      <c r="B58" s="245"/>
      <c r="D58" s="40"/>
      <c r="E58" s="42"/>
      <c r="F58" s="42">
        <f t="shared" ref="F58" si="9">+D58*12</f>
        <v>0</v>
      </c>
      <c r="G58" s="42">
        <f t="shared" si="8"/>
        <v>0</v>
      </c>
    </row>
    <row r="59" spans="1:10" ht="15" customHeight="1">
      <c r="A59" s="245">
        <v>9</v>
      </c>
      <c r="B59" s="245"/>
      <c r="D59" s="40"/>
      <c r="E59" s="42"/>
      <c r="F59" s="42">
        <f>+D59*12</f>
        <v>0</v>
      </c>
      <c r="G59" s="42">
        <f t="shared" si="8"/>
        <v>0</v>
      </c>
    </row>
    <row r="60" spans="1:10" ht="15" customHeight="1">
      <c r="A60" s="245">
        <v>10</v>
      </c>
      <c r="B60" s="302"/>
      <c r="D60" s="40"/>
      <c r="E60" s="42"/>
      <c r="F60" s="42">
        <f t="shared" ref="F60:F74" si="10">+D60*12</f>
        <v>0</v>
      </c>
      <c r="G60" s="42">
        <f t="shared" si="8"/>
        <v>0</v>
      </c>
    </row>
    <row r="61" spans="1:10" ht="15" customHeight="1">
      <c r="A61" s="245">
        <v>11</v>
      </c>
      <c r="B61" s="245"/>
      <c r="D61" s="40"/>
      <c r="E61" s="42"/>
      <c r="F61" s="42">
        <f t="shared" si="10"/>
        <v>0</v>
      </c>
      <c r="G61" s="42">
        <f t="shared" si="8"/>
        <v>0</v>
      </c>
    </row>
    <row r="62" spans="1:10" ht="15" customHeight="1">
      <c r="A62" s="245">
        <v>12</v>
      </c>
      <c r="B62" s="302"/>
      <c r="D62" s="40"/>
      <c r="E62" s="42"/>
      <c r="F62" s="42">
        <f t="shared" si="10"/>
        <v>0</v>
      </c>
      <c r="G62" s="42">
        <f t="shared" si="8"/>
        <v>0</v>
      </c>
    </row>
    <row r="63" spans="1:10" ht="15" customHeight="1">
      <c r="A63" s="245">
        <v>13</v>
      </c>
      <c r="B63" s="302"/>
      <c r="D63" s="40"/>
      <c r="E63" s="42"/>
      <c r="F63" s="42">
        <f t="shared" si="10"/>
        <v>0</v>
      </c>
      <c r="G63" s="42">
        <f t="shared" si="8"/>
        <v>0</v>
      </c>
    </row>
    <row r="64" spans="1:10" ht="15" customHeight="1">
      <c r="A64" s="245">
        <v>14</v>
      </c>
      <c r="B64" s="302"/>
      <c r="D64" s="40"/>
      <c r="E64" s="42"/>
      <c r="F64" s="42">
        <f t="shared" si="10"/>
        <v>0</v>
      </c>
      <c r="G64" s="42">
        <f t="shared" si="8"/>
        <v>0</v>
      </c>
    </row>
    <row r="65" spans="1:10" ht="15" customHeight="1">
      <c r="A65" s="245">
        <v>15</v>
      </c>
      <c r="B65" s="245"/>
      <c r="D65" s="40"/>
      <c r="E65" s="42"/>
      <c r="F65" s="42">
        <f t="shared" si="10"/>
        <v>0</v>
      </c>
      <c r="G65" s="42">
        <f t="shared" si="8"/>
        <v>0</v>
      </c>
    </row>
    <row r="66" spans="1:10" ht="15" customHeight="1">
      <c r="A66" s="245">
        <v>16</v>
      </c>
      <c r="B66" s="245"/>
      <c r="D66" s="40"/>
      <c r="E66" s="42"/>
      <c r="F66" s="42">
        <f t="shared" si="10"/>
        <v>0</v>
      </c>
      <c r="G66" s="42">
        <f t="shared" si="8"/>
        <v>0</v>
      </c>
    </row>
    <row r="67" spans="1:10" ht="15" customHeight="1">
      <c r="A67" s="245">
        <v>17</v>
      </c>
      <c r="B67" s="245"/>
      <c r="D67" s="40"/>
      <c r="E67" s="42"/>
      <c r="F67" s="42">
        <f t="shared" si="10"/>
        <v>0</v>
      </c>
      <c r="G67" s="42">
        <f t="shared" si="8"/>
        <v>0</v>
      </c>
    </row>
    <row r="68" spans="1:10" ht="15" customHeight="1">
      <c r="A68" s="245">
        <v>18</v>
      </c>
      <c r="B68" s="245"/>
      <c r="D68" s="40"/>
      <c r="E68" s="42"/>
      <c r="F68" s="42">
        <f t="shared" si="10"/>
        <v>0</v>
      </c>
      <c r="G68" s="42">
        <f t="shared" si="8"/>
        <v>0</v>
      </c>
    </row>
    <row r="69" spans="1:10" ht="15" customHeight="1">
      <c r="A69" s="245">
        <v>19</v>
      </c>
      <c r="B69" s="245"/>
      <c r="D69" s="40"/>
      <c r="E69" s="42"/>
      <c r="F69" s="42">
        <f t="shared" si="10"/>
        <v>0</v>
      </c>
      <c r="G69" s="42">
        <f t="shared" si="8"/>
        <v>0</v>
      </c>
    </row>
    <row r="70" spans="1:10" ht="15" customHeight="1">
      <c r="A70" s="245">
        <v>20</v>
      </c>
      <c r="B70" s="245"/>
      <c r="D70" s="40"/>
      <c r="E70" s="42"/>
      <c r="F70" s="42">
        <f t="shared" si="10"/>
        <v>0</v>
      </c>
      <c r="G70" s="42">
        <f t="shared" si="8"/>
        <v>0</v>
      </c>
    </row>
    <row r="71" spans="1:10" ht="15" customHeight="1">
      <c r="A71" s="245">
        <v>21</v>
      </c>
      <c r="B71" s="245"/>
      <c r="D71" s="40"/>
      <c r="E71" s="42"/>
      <c r="F71" s="42">
        <f t="shared" si="10"/>
        <v>0</v>
      </c>
      <c r="G71" s="42">
        <f t="shared" si="8"/>
        <v>0</v>
      </c>
    </row>
    <row r="72" spans="1:10" ht="15" customHeight="1">
      <c r="A72" s="245">
        <v>22</v>
      </c>
      <c r="B72" s="245"/>
      <c r="D72" s="40"/>
      <c r="E72" s="42"/>
      <c r="F72" s="42">
        <f t="shared" si="10"/>
        <v>0</v>
      </c>
      <c r="G72" s="42">
        <f t="shared" si="8"/>
        <v>0</v>
      </c>
      <c r="H72" s="242"/>
    </row>
    <row r="73" spans="1:10" ht="15" customHeight="1">
      <c r="A73" s="245">
        <v>23</v>
      </c>
      <c r="B73" s="245"/>
      <c r="C73" s="247"/>
      <c r="D73" s="40"/>
      <c r="E73" s="42"/>
      <c r="F73" s="42">
        <f t="shared" si="10"/>
        <v>0</v>
      </c>
      <c r="G73" s="42">
        <f t="shared" si="8"/>
        <v>0</v>
      </c>
      <c r="H73" s="242"/>
    </row>
    <row r="74" spans="1:10" ht="15" customHeight="1">
      <c r="A74" s="245">
        <v>24</v>
      </c>
      <c r="B74" s="25"/>
      <c r="C74" s="247"/>
      <c r="D74" s="40"/>
      <c r="E74" s="42"/>
      <c r="F74" s="42">
        <f t="shared" si="10"/>
        <v>0</v>
      </c>
      <c r="G74" s="42">
        <f t="shared" si="8"/>
        <v>0</v>
      </c>
      <c r="H74" s="242"/>
    </row>
    <row r="75" spans="1:10" ht="15" customHeight="1">
      <c r="A75" s="246"/>
      <c r="B75" s="185"/>
      <c r="D75" s="41"/>
      <c r="E75" s="241" t="s">
        <v>320</v>
      </c>
      <c r="F75" s="41">
        <f>SUM(F51:F74)</f>
        <v>0</v>
      </c>
      <c r="G75" s="41">
        <f>SUM(G51:G74)</f>
        <v>0</v>
      </c>
      <c r="H75" s="242"/>
    </row>
    <row r="76" spans="1:10" ht="18">
      <c r="A76" s="246"/>
    </row>
    <row r="77" spans="1:10">
      <c r="A77" s="175"/>
      <c r="B77" s="175"/>
      <c r="C77" s="175"/>
      <c r="D77" s="175"/>
      <c r="E77" s="176"/>
      <c r="F77" s="33"/>
      <c r="G77" s="33"/>
      <c r="H77" s="33"/>
      <c r="I77" s="175"/>
      <c r="J77" s="175"/>
    </row>
    <row r="78" spans="1:10" customFormat="1">
      <c r="A78" s="242"/>
      <c r="B78" s="242"/>
      <c r="C78" s="242"/>
      <c r="D78" s="242"/>
      <c r="E78" s="177"/>
      <c r="F78" s="5"/>
      <c r="G78" s="5"/>
      <c r="H78" s="5"/>
      <c r="I78" s="242"/>
      <c r="J78" s="242"/>
    </row>
    <row r="79" spans="1:10" customFormat="1">
      <c r="A79" s="13" t="s">
        <v>374</v>
      </c>
      <c r="D79" s="170"/>
      <c r="E79" s="4"/>
      <c r="F79" s="5"/>
      <c r="G79" s="174"/>
      <c r="H79" s="5"/>
    </row>
    <row r="80" spans="1:10" customFormat="1" ht="12.75">
      <c r="B80" s="297" t="s">
        <v>365</v>
      </c>
      <c r="C80" s="179" t="s">
        <v>366</v>
      </c>
      <c r="D80" s="179" t="s">
        <v>367</v>
      </c>
      <c r="E80" s="180" t="s">
        <v>368</v>
      </c>
      <c r="F80" s="181" t="s">
        <v>369</v>
      </c>
      <c r="G80" s="179" t="s">
        <v>370</v>
      </c>
      <c r="H80" s="293"/>
    </row>
    <row r="81" spans="1:7" customFormat="1" ht="13.5">
      <c r="A81" s="245">
        <v>1</v>
      </c>
      <c r="B81" s="302"/>
      <c r="C81" s="242"/>
      <c r="D81" s="40"/>
      <c r="E81" s="42"/>
      <c r="F81" s="42">
        <f>+D81*12</f>
        <v>0</v>
      </c>
      <c r="G81" s="42">
        <f>E81*12</f>
        <v>0</v>
      </c>
    </row>
    <row r="82" spans="1:7" customFormat="1" ht="13.5">
      <c r="A82" s="245">
        <v>2</v>
      </c>
      <c r="B82" s="302"/>
      <c r="C82" s="242"/>
      <c r="D82" s="40"/>
      <c r="E82" s="42"/>
      <c r="F82" s="42">
        <f t="shared" ref="F82:F108" si="11">+D82*12</f>
        <v>0</v>
      </c>
      <c r="G82" s="42">
        <f t="shared" ref="G82:G108" si="12">E82*12</f>
        <v>0</v>
      </c>
    </row>
    <row r="83" spans="1:7" customFormat="1" ht="13.5">
      <c r="A83" s="245">
        <v>3</v>
      </c>
      <c r="B83" s="302"/>
      <c r="C83" s="242"/>
      <c r="D83" s="40"/>
      <c r="E83" s="42"/>
      <c r="F83" s="42">
        <f t="shared" si="11"/>
        <v>0</v>
      </c>
      <c r="G83" s="42">
        <f t="shared" si="12"/>
        <v>0</v>
      </c>
    </row>
    <row r="84" spans="1:7" customFormat="1" ht="13.5">
      <c r="A84" s="245">
        <v>4</v>
      </c>
      <c r="B84" s="302"/>
      <c r="C84" s="242"/>
      <c r="D84" s="40"/>
      <c r="E84" s="42"/>
      <c r="F84" s="42">
        <f t="shared" si="11"/>
        <v>0</v>
      </c>
      <c r="G84" s="42">
        <f t="shared" si="12"/>
        <v>0</v>
      </c>
    </row>
    <row r="85" spans="1:7" customFormat="1" ht="13.5">
      <c r="A85" s="245">
        <v>5</v>
      </c>
      <c r="B85" s="302"/>
      <c r="C85" s="242"/>
      <c r="D85" s="40"/>
      <c r="E85" s="42"/>
      <c r="F85" s="42">
        <f t="shared" si="11"/>
        <v>0</v>
      </c>
      <c r="G85" s="42">
        <f t="shared" si="12"/>
        <v>0</v>
      </c>
    </row>
    <row r="86" spans="1:7" customFormat="1" ht="13.5">
      <c r="A86" s="245">
        <v>6</v>
      </c>
      <c r="B86" s="302"/>
      <c r="C86" s="242"/>
      <c r="D86" s="40"/>
      <c r="E86" s="42"/>
      <c r="F86" s="42">
        <f t="shared" si="11"/>
        <v>0</v>
      </c>
      <c r="G86" s="42">
        <f t="shared" si="12"/>
        <v>0</v>
      </c>
    </row>
    <row r="87" spans="1:7" customFormat="1" ht="13.5">
      <c r="A87" s="245">
        <v>7</v>
      </c>
      <c r="B87" s="302"/>
      <c r="C87" s="242"/>
      <c r="D87" s="40"/>
      <c r="E87" s="42"/>
      <c r="F87" s="42">
        <f t="shared" si="11"/>
        <v>0</v>
      </c>
      <c r="G87" s="42">
        <f t="shared" si="12"/>
        <v>0</v>
      </c>
    </row>
    <row r="88" spans="1:7" customFormat="1" ht="13.5">
      <c r="A88" s="245">
        <v>8</v>
      </c>
      <c r="B88" s="302"/>
      <c r="C88" s="242"/>
      <c r="D88" s="40"/>
      <c r="E88" s="42"/>
      <c r="F88" s="42">
        <f t="shared" si="11"/>
        <v>0</v>
      </c>
      <c r="G88" s="42">
        <f t="shared" si="12"/>
        <v>0</v>
      </c>
    </row>
    <row r="89" spans="1:7" customFormat="1" ht="13.5">
      <c r="A89" s="245">
        <v>9</v>
      </c>
      <c r="B89" s="302"/>
      <c r="C89" s="242"/>
      <c r="D89" s="40"/>
      <c r="E89" s="42"/>
      <c r="F89" s="42">
        <f t="shared" si="11"/>
        <v>0</v>
      </c>
      <c r="G89" s="42">
        <f t="shared" si="12"/>
        <v>0</v>
      </c>
    </row>
    <row r="90" spans="1:7" customFormat="1" ht="13.5">
      <c r="A90" s="245">
        <v>10</v>
      </c>
      <c r="B90" s="302"/>
      <c r="C90" s="242"/>
      <c r="D90" s="40"/>
      <c r="E90" s="42"/>
      <c r="F90" s="42">
        <f t="shared" si="11"/>
        <v>0</v>
      </c>
      <c r="G90" s="42">
        <f t="shared" si="12"/>
        <v>0</v>
      </c>
    </row>
    <row r="91" spans="1:7" customFormat="1" ht="13.5">
      <c r="A91" s="245">
        <v>11</v>
      </c>
      <c r="B91" s="302"/>
      <c r="C91" s="242"/>
      <c r="D91" s="40"/>
      <c r="E91" s="42"/>
      <c r="F91" s="42">
        <f t="shared" si="11"/>
        <v>0</v>
      </c>
      <c r="G91" s="42">
        <f t="shared" si="12"/>
        <v>0</v>
      </c>
    </row>
    <row r="92" spans="1:7" customFormat="1" ht="13.5">
      <c r="A92" s="245">
        <v>12</v>
      </c>
      <c r="B92" s="302"/>
      <c r="C92" s="242"/>
      <c r="D92" s="40"/>
      <c r="E92" s="42"/>
      <c r="F92" s="42">
        <f t="shared" si="11"/>
        <v>0</v>
      </c>
      <c r="G92" s="42">
        <f t="shared" si="12"/>
        <v>0</v>
      </c>
    </row>
    <row r="93" spans="1:7" customFormat="1" ht="13.5">
      <c r="A93" s="245">
        <v>13</v>
      </c>
      <c r="B93" s="302"/>
      <c r="C93" s="242"/>
      <c r="D93" s="40"/>
      <c r="E93" s="42"/>
      <c r="F93" s="42">
        <f t="shared" si="11"/>
        <v>0</v>
      </c>
      <c r="G93" s="42">
        <f t="shared" si="12"/>
        <v>0</v>
      </c>
    </row>
    <row r="94" spans="1:7" customFormat="1" ht="13.5">
      <c r="A94" s="245">
        <v>14</v>
      </c>
      <c r="B94" s="302"/>
      <c r="C94" s="242"/>
      <c r="D94" s="40"/>
      <c r="E94" s="42"/>
      <c r="F94" s="42">
        <f t="shared" si="11"/>
        <v>0</v>
      </c>
      <c r="G94" s="42">
        <f t="shared" si="12"/>
        <v>0</v>
      </c>
    </row>
    <row r="95" spans="1:7" customFormat="1" ht="13.5">
      <c r="A95" s="245">
        <v>15</v>
      </c>
      <c r="B95" s="302"/>
      <c r="C95" s="242"/>
      <c r="D95" s="40"/>
      <c r="E95" s="42"/>
      <c r="F95" s="42">
        <f t="shared" si="11"/>
        <v>0</v>
      </c>
      <c r="G95" s="42">
        <f t="shared" si="12"/>
        <v>0</v>
      </c>
    </row>
    <row r="96" spans="1:7" customFormat="1" ht="13.5">
      <c r="A96" s="245">
        <v>16</v>
      </c>
      <c r="B96" s="302"/>
      <c r="C96" s="242"/>
      <c r="D96" s="40"/>
      <c r="E96" s="42"/>
      <c r="F96" s="42">
        <f t="shared" si="11"/>
        <v>0</v>
      </c>
      <c r="G96" s="42">
        <f t="shared" si="12"/>
        <v>0</v>
      </c>
    </row>
    <row r="97" spans="1:8" customFormat="1" ht="13.5">
      <c r="A97" s="245">
        <v>17</v>
      </c>
      <c r="B97" s="302"/>
      <c r="C97" s="242"/>
      <c r="D97" s="40"/>
      <c r="E97" s="42"/>
      <c r="F97" s="42">
        <f t="shared" si="11"/>
        <v>0</v>
      </c>
      <c r="G97" s="42">
        <f t="shared" si="12"/>
        <v>0</v>
      </c>
    </row>
    <row r="98" spans="1:8" customFormat="1" ht="13.5">
      <c r="A98" s="245">
        <v>18</v>
      </c>
      <c r="B98" s="302"/>
      <c r="C98" s="242"/>
      <c r="D98" s="40"/>
      <c r="E98" s="42"/>
      <c r="F98" s="42">
        <f t="shared" si="11"/>
        <v>0</v>
      </c>
      <c r="G98" s="42">
        <f t="shared" si="12"/>
        <v>0</v>
      </c>
    </row>
    <row r="99" spans="1:8" ht="13.5">
      <c r="A99" s="245">
        <v>19</v>
      </c>
      <c r="B99" s="302"/>
      <c r="D99" s="40"/>
      <c r="E99" s="42"/>
      <c r="F99" s="42">
        <f t="shared" si="11"/>
        <v>0</v>
      </c>
      <c r="G99" s="42">
        <f t="shared" si="12"/>
        <v>0</v>
      </c>
      <c r="H99" s="242"/>
    </row>
    <row r="100" spans="1:8" ht="13.5">
      <c r="A100" s="245">
        <v>20</v>
      </c>
      <c r="B100" s="302"/>
      <c r="D100" s="40"/>
      <c r="E100" s="42"/>
      <c r="F100" s="42">
        <f t="shared" si="11"/>
        <v>0</v>
      </c>
      <c r="G100" s="42">
        <f t="shared" si="12"/>
        <v>0</v>
      </c>
      <c r="H100" s="242"/>
    </row>
    <row r="101" spans="1:8" ht="13.5">
      <c r="A101" s="245">
        <v>21</v>
      </c>
      <c r="B101" s="302"/>
      <c r="D101" s="40"/>
      <c r="E101" s="42"/>
      <c r="F101" s="42">
        <f t="shared" si="11"/>
        <v>0</v>
      </c>
      <c r="G101" s="42">
        <f t="shared" si="12"/>
        <v>0</v>
      </c>
      <c r="H101" s="242"/>
    </row>
    <row r="102" spans="1:8" ht="13.5">
      <c r="A102" s="245">
        <v>22</v>
      </c>
      <c r="B102" s="302"/>
      <c r="D102" s="40"/>
      <c r="E102" s="42"/>
      <c r="F102" s="42">
        <f t="shared" si="11"/>
        <v>0</v>
      </c>
      <c r="G102" s="42">
        <f t="shared" si="12"/>
        <v>0</v>
      </c>
      <c r="H102" s="242"/>
    </row>
    <row r="103" spans="1:8" ht="13.5">
      <c r="A103" s="245">
        <v>23</v>
      </c>
      <c r="B103" s="302"/>
      <c r="D103" s="40"/>
      <c r="E103" s="42"/>
      <c r="F103" s="42">
        <f t="shared" si="11"/>
        <v>0</v>
      </c>
      <c r="G103" s="42">
        <f t="shared" si="12"/>
        <v>0</v>
      </c>
      <c r="H103" s="242"/>
    </row>
    <row r="104" spans="1:8" ht="13.5">
      <c r="A104" s="245">
        <v>24</v>
      </c>
      <c r="B104" s="302"/>
      <c r="D104" s="40"/>
      <c r="E104" s="42"/>
      <c r="F104" s="42">
        <f t="shared" si="11"/>
        <v>0</v>
      </c>
      <c r="G104" s="42">
        <f t="shared" si="12"/>
        <v>0</v>
      </c>
      <c r="H104" s="242"/>
    </row>
    <row r="105" spans="1:8" ht="13.5">
      <c r="A105" s="245">
        <v>25</v>
      </c>
      <c r="B105" s="302"/>
      <c r="D105" s="40"/>
      <c r="E105" s="42"/>
      <c r="F105" s="42">
        <f t="shared" si="11"/>
        <v>0</v>
      </c>
      <c r="G105" s="42">
        <f t="shared" si="12"/>
        <v>0</v>
      </c>
      <c r="H105" s="242"/>
    </row>
    <row r="106" spans="1:8" ht="15.75" customHeight="1">
      <c r="A106" s="245">
        <v>26</v>
      </c>
      <c r="B106" s="302"/>
      <c r="D106" s="40"/>
      <c r="E106" s="42"/>
      <c r="F106" s="42">
        <f t="shared" si="11"/>
        <v>0</v>
      </c>
      <c r="G106" s="42">
        <f t="shared" si="12"/>
        <v>0</v>
      </c>
      <c r="H106" s="242"/>
    </row>
    <row r="107" spans="1:8" ht="13.5">
      <c r="A107" s="245">
        <v>27</v>
      </c>
      <c r="B107" s="302"/>
      <c r="D107" s="40"/>
      <c r="E107" s="42"/>
      <c r="F107" s="42">
        <f t="shared" si="11"/>
        <v>0</v>
      </c>
      <c r="G107" s="42">
        <f t="shared" si="12"/>
        <v>0</v>
      </c>
      <c r="H107" s="242"/>
    </row>
    <row r="108" spans="1:8" ht="13.5">
      <c r="A108" s="245">
        <v>28</v>
      </c>
      <c r="B108" s="302"/>
      <c r="D108" s="40"/>
      <c r="E108" s="42"/>
      <c r="F108" s="42">
        <f t="shared" si="11"/>
        <v>0</v>
      </c>
      <c r="G108" s="42">
        <f t="shared" si="12"/>
        <v>0</v>
      </c>
      <c r="H108" s="242"/>
    </row>
    <row r="109" spans="1:8" ht="12.75">
      <c r="C109"/>
      <c r="D109" s="241" t="s">
        <v>320</v>
      </c>
      <c r="E109" s="4"/>
      <c r="F109" s="243">
        <f>SUM(F81:F108)</f>
        <v>0</v>
      </c>
      <c r="G109" s="243">
        <f>SUM(G81:G108)</f>
        <v>0</v>
      </c>
      <c r="H109" s="242"/>
    </row>
    <row r="112" spans="1:8">
      <c r="F112" s="243">
        <f>+F109+F75+F44+F20</f>
        <v>0</v>
      </c>
      <c r="G112" s="243">
        <f>+G109+G75+G44+G20</f>
        <v>0</v>
      </c>
    </row>
    <row r="114" spans="6:6">
      <c r="F114" s="243">
        <f>+F112-'Anexo Ingresos'!M46</f>
        <v>0</v>
      </c>
    </row>
  </sheetData>
  <pageMargins left="0.75" right="0.75" top="0.49" bottom="0.69" header="0.511811024" footer="0.511811024"/>
  <pageSetup paperSize="9" scale="54" fitToHeight="2" orientation="portrait" r:id="rId1"/>
  <headerFooter alignWithMargins="0">
    <oddFooter>Página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tabColor theme="6" tint="0.59999389629810485"/>
  </sheetPr>
  <dimension ref="D4:E32"/>
  <sheetViews>
    <sheetView workbookViewId="0">
      <selection activeCell="M44" sqref="M44"/>
    </sheetView>
  </sheetViews>
  <sheetFormatPr defaultColWidth="11.42578125" defaultRowHeight="12.75"/>
  <sheetData>
    <row r="4" spans="4:4">
      <c r="D4" s="57"/>
    </row>
    <row r="30" spans="5:5" ht="21">
      <c r="E30" s="92"/>
    </row>
    <row r="31" spans="5:5" ht="15">
      <c r="E31" s="93"/>
    </row>
    <row r="32" spans="5:5" ht="15">
      <c r="E32" s="93"/>
    </row>
  </sheetData>
  <phoneticPr fontId="0" type="noConversion"/>
  <pageMargins left="0.75" right="0.75" top="1" bottom="1" header="0.511811024" footer="0.511811024"/>
  <pageSetup paperSize="9" orientation="portrait" r:id="rId1"/>
  <headerFooter alignWithMargins="0">
    <oddHeader>&amp;A</oddHeader>
    <oddFooter>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39997558519241921"/>
    <pageSetUpPr fitToPage="1"/>
  </sheetPr>
  <dimension ref="A1:T305"/>
  <sheetViews>
    <sheetView topLeftCell="A157" zoomScale="90" zoomScaleNormal="90" workbookViewId="0">
      <selection activeCell="M81" sqref="M80:M81"/>
    </sheetView>
  </sheetViews>
  <sheetFormatPr defaultColWidth="11.42578125" defaultRowHeight="15.75" outlineLevelRow="2"/>
  <cols>
    <col min="1" max="1" width="1.7109375" customWidth="1"/>
    <col min="2" max="2" width="35.5703125" bestFit="1" customWidth="1"/>
    <col min="3" max="3" width="16.140625" customWidth="1"/>
    <col min="4" max="4" width="7.28515625" customWidth="1"/>
    <col min="5" max="5" width="16.42578125" customWidth="1"/>
    <col min="6" max="6" width="6.7109375" bestFit="1" customWidth="1"/>
    <col min="7" max="7" width="19" style="4" customWidth="1"/>
    <col min="8" max="8" width="7" style="4" customWidth="1"/>
    <col min="9" max="9" width="19" style="5" customWidth="1"/>
    <col min="10" max="10" width="6.7109375" style="5" customWidth="1"/>
    <col min="11" max="11" width="19" style="5" customWidth="1"/>
    <col min="12" max="12" width="6.85546875" style="5" bestFit="1" customWidth="1"/>
    <col min="13" max="13" width="19.42578125" customWidth="1"/>
    <col min="14" max="14" width="43.42578125" customWidth="1"/>
    <col min="15" max="15" width="14.42578125" bestFit="1" customWidth="1"/>
    <col min="17" max="17" width="22.42578125" bestFit="1" customWidth="1"/>
  </cols>
  <sheetData>
    <row r="1" spans="1:20" ht="7.5" customHeight="1" outlineLevel="1">
      <c r="A1" s="31"/>
      <c r="B1" s="31"/>
      <c r="C1" s="31"/>
      <c r="D1" s="31"/>
      <c r="E1" s="31"/>
      <c r="F1" s="31"/>
      <c r="G1" s="32"/>
      <c r="H1" s="32"/>
      <c r="I1" s="33"/>
      <c r="J1" s="33"/>
      <c r="K1" s="33"/>
      <c r="L1" s="33"/>
      <c r="M1" s="31"/>
      <c r="N1" s="31"/>
    </row>
    <row r="2" spans="1:20" outlineLevel="1">
      <c r="O2" s="97" t="s">
        <v>375</v>
      </c>
      <c r="P2" s="273"/>
      <c r="Q2" s="25"/>
    </row>
    <row r="3" spans="1:20" outlineLevel="1">
      <c r="A3" s="13" t="s">
        <v>376</v>
      </c>
      <c r="F3" s="5"/>
      <c r="G3" s="5"/>
      <c r="H3" s="5"/>
      <c r="O3" s="97" t="s">
        <v>298</v>
      </c>
      <c r="P3" s="306"/>
      <c r="Q3" s="25"/>
    </row>
    <row r="4" spans="1:20" ht="7.5" customHeight="1" outlineLevel="1"/>
    <row r="5" spans="1:20" s="25" customFormat="1" ht="11.25" outlineLevel="1">
      <c r="B5" s="28"/>
      <c r="C5" s="29" t="s">
        <v>293</v>
      </c>
      <c r="D5" s="29" t="s">
        <v>294</v>
      </c>
      <c r="E5" s="29" t="s">
        <v>377</v>
      </c>
      <c r="F5" s="29" t="s">
        <v>294</v>
      </c>
      <c r="G5" s="29" t="s">
        <v>269</v>
      </c>
      <c r="H5" s="29" t="s">
        <v>294</v>
      </c>
      <c r="I5" s="29" t="s">
        <v>265</v>
      </c>
      <c r="J5" s="29" t="s">
        <v>294</v>
      </c>
      <c r="K5" s="29" t="s">
        <v>295</v>
      </c>
      <c r="L5" s="29" t="s">
        <v>294</v>
      </c>
      <c r="M5" s="29" t="s">
        <v>296</v>
      </c>
    </row>
    <row r="6" spans="1:20" ht="18" outlineLevel="1">
      <c r="A6" s="1"/>
      <c r="B6" s="26" t="s">
        <v>378</v>
      </c>
      <c r="C6" s="42"/>
      <c r="D6" s="155" t="e">
        <f>+C6/M6</f>
        <v>#DIV/0!</v>
      </c>
      <c r="E6" s="237"/>
      <c r="F6" s="155" t="e">
        <f>+E6/$M$6</f>
        <v>#DIV/0!</v>
      </c>
      <c r="G6" s="42"/>
      <c r="H6" s="155" t="e">
        <f>+G6/$M$6</f>
        <v>#DIV/0!</v>
      </c>
      <c r="I6" s="42"/>
      <c r="J6" s="155" t="e">
        <f>+I6/$M$6</f>
        <v>#DIV/0!</v>
      </c>
      <c r="K6" s="42"/>
      <c r="L6" s="155" t="e">
        <f>+K6/$M$6</f>
        <v>#DIV/0!</v>
      </c>
      <c r="M6" s="237">
        <f>+C6+E6+G6+I6+K6</f>
        <v>0</v>
      </c>
      <c r="N6" s="25"/>
      <c r="O6" s="140"/>
    </row>
    <row r="7" spans="1:20" ht="18" outlineLevel="1">
      <c r="A7" s="1"/>
      <c r="B7" s="26" t="s">
        <v>379</v>
      </c>
      <c r="C7" s="237"/>
      <c r="D7" s="155" t="e">
        <f>+C7/$M$7</f>
        <v>#DIV/0!</v>
      </c>
      <c r="E7" s="237"/>
      <c r="F7" s="155" t="e">
        <f>E7/$M$7</f>
        <v>#DIV/0!</v>
      </c>
      <c r="G7" s="42"/>
      <c r="H7" s="155" t="e">
        <f>+G7/$M$7</f>
        <v>#DIV/0!</v>
      </c>
      <c r="I7" s="42"/>
      <c r="J7" s="155" t="e">
        <f>+I7/$M$7</f>
        <v>#DIV/0!</v>
      </c>
      <c r="K7" s="42"/>
      <c r="L7" s="155" t="e">
        <f t="shared" ref="L7:L8" si="0">+K7/$M$6</f>
        <v>#DIV/0!</v>
      </c>
      <c r="M7" s="42">
        <f t="shared" ref="M7:M11" si="1">+C7+E7+G7+I7+K7</f>
        <v>0</v>
      </c>
      <c r="N7" s="25"/>
      <c r="T7" s="25"/>
    </row>
    <row r="8" spans="1:20" ht="17.25" customHeight="1" outlineLevel="1">
      <c r="B8" s="26" t="s">
        <v>380</v>
      </c>
      <c r="C8" s="42"/>
      <c r="D8" s="155" t="e">
        <f>+C8/$M$8</f>
        <v>#DIV/0!</v>
      </c>
      <c r="E8" s="237"/>
      <c r="F8" s="155" t="e">
        <f>+E8/$M$8</f>
        <v>#DIV/0!</v>
      </c>
      <c r="G8" s="42"/>
      <c r="H8" s="155" t="e">
        <f>+G8/$M$8</f>
        <v>#DIV/0!</v>
      </c>
      <c r="I8" s="42"/>
      <c r="J8" s="155" t="e">
        <f>+I8/$M$8</f>
        <v>#DIV/0!</v>
      </c>
      <c r="K8"/>
      <c r="L8" s="155" t="e">
        <f t="shared" si="0"/>
        <v>#DIV/0!</v>
      </c>
      <c r="M8" s="42">
        <f t="shared" si="1"/>
        <v>0</v>
      </c>
      <c r="N8" s="25"/>
    </row>
    <row r="9" spans="1:20" ht="18" hidden="1" outlineLevel="1">
      <c r="A9" s="1"/>
      <c r="B9" s="26"/>
      <c r="C9" s="42"/>
      <c r="D9" s="155"/>
      <c r="E9" s="42"/>
      <c r="F9" s="155"/>
      <c r="G9" s="42"/>
      <c r="H9" s="155"/>
      <c r="I9" s="42"/>
      <c r="J9" s="155"/>
      <c r="K9" s="42"/>
      <c r="L9" s="155"/>
      <c r="M9" s="42">
        <f t="shared" si="1"/>
        <v>0</v>
      </c>
    </row>
    <row r="10" spans="1:20" ht="17.25" hidden="1" customHeight="1" outlineLevel="1">
      <c r="B10" s="26"/>
      <c r="C10" s="42"/>
      <c r="D10" s="155"/>
      <c r="E10" s="42"/>
      <c r="F10" s="155"/>
      <c r="G10" s="42"/>
      <c r="H10" s="155"/>
      <c r="I10" s="42"/>
      <c r="J10" s="155"/>
      <c r="K10" s="42"/>
      <c r="L10" s="155"/>
      <c r="M10" s="42">
        <f t="shared" si="1"/>
        <v>0</v>
      </c>
    </row>
    <row r="11" spans="1:20" ht="17.25" customHeight="1" outlineLevel="1">
      <c r="B11" s="26"/>
      <c r="C11" s="42"/>
      <c r="D11" s="155"/>
      <c r="E11" s="42"/>
      <c r="F11" s="155"/>
      <c r="G11" s="42"/>
      <c r="H11" s="155"/>
      <c r="I11" s="42"/>
      <c r="J11" s="155"/>
      <c r="K11" s="42"/>
      <c r="L11" s="155"/>
      <c r="M11" s="42">
        <f t="shared" si="1"/>
        <v>0</v>
      </c>
    </row>
    <row r="12" spans="1:20" ht="20.25" outlineLevel="1">
      <c r="A12" s="2"/>
      <c r="B12" s="225" t="s">
        <v>381</v>
      </c>
      <c r="C12" s="241">
        <f>SUM(C6:C11)</f>
        <v>0</v>
      </c>
      <c r="D12" s="241"/>
      <c r="E12" s="241">
        <f>SUM(E6:E11)</f>
        <v>0</v>
      </c>
      <c r="F12" s="241"/>
      <c r="G12" s="241">
        <f>SUM(G6:G11)</f>
        <v>0</v>
      </c>
      <c r="H12" s="241"/>
      <c r="I12" s="241">
        <f>SUM(I6:I11)</f>
        <v>0</v>
      </c>
      <c r="J12" s="241"/>
      <c r="K12" s="241">
        <f>SUM(K6:K11)</f>
        <v>0</v>
      </c>
      <c r="L12" s="241"/>
      <c r="M12" s="241">
        <f>SUM(M6:M11)</f>
        <v>0</v>
      </c>
      <c r="N12" s="25"/>
    </row>
    <row r="13" spans="1:20" ht="12.75" customHeight="1" outlineLevel="1">
      <c r="A13" s="2"/>
      <c r="B13" s="26"/>
      <c r="C13" s="225"/>
      <c r="D13" s="225"/>
      <c r="E13" s="241"/>
      <c r="F13" s="241"/>
    </row>
    <row r="14" spans="1:20" ht="7.5" customHeight="1">
      <c r="A14" s="31"/>
      <c r="B14" s="31"/>
      <c r="C14" s="31"/>
      <c r="D14" s="31"/>
      <c r="E14" s="31"/>
      <c r="F14" s="31"/>
      <c r="G14" s="32"/>
      <c r="H14" s="32"/>
      <c r="I14" s="33"/>
      <c r="J14" s="33"/>
      <c r="K14" s="33"/>
      <c r="L14" s="33"/>
      <c r="M14" s="31"/>
      <c r="N14" s="31"/>
    </row>
    <row r="15" spans="1:20" ht="9.75" customHeight="1" outlineLevel="1"/>
    <row r="16" spans="1:20" outlineLevel="1">
      <c r="A16" s="13" t="s">
        <v>382</v>
      </c>
      <c r="F16" s="4"/>
    </row>
    <row r="17" spans="1:16" ht="7.5" customHeight="1" outlineLevel="1"/>
    <row r="18" spans="1:16" s="25" customFormat="1" ht="11.25" outlineLevel="1">
      <c r="B18" s="28"/>
      <c r="C18" s="29" t="s">
        <v>293</v>
      </c>
      <c r="D18" s="29" t="s">
        <v>294</v>
      </c>
      <c r="E18" s="29" t="s">
        <v>377</v>
      </c>
      <c r="F18" s="29" t="s">
        <v>294</v>
      </c>
      <c r="G18" s="29" t="s">
        <v>269</v>
      </c>
      <c r="H18" s="29" t="s">
        <v>294</v>
      </c>
      <c r="I18" s="29" t="s">
        <v>265</v>
      </c>
      <c r="J18" s="29" t="s">
        <v>294</v>
      </c>
      <c r="K18" s="29" t="s">
        <v>295</v>
      </c>
      <c r="L18" s="29" t="s">
        <v>294</v>
      </c>
      <c r="M18" s="29" t="s">
        <v>296</v>
      </c>
    </row>
    <row r="19" spans="1:16" ht="18" outlineLevel="1">
      <c r="A19" s="1"/>
      <c r="B19" s="26" t="s">
        <v>383</v>
      </c>
      <c r="C19" s="42"/>
      <c r="D19" s="155" t="e">
        <f>+C19/$M$19</f>
        <v>#DIV/0!</v>
      </c>
      <c r="E19" s="237"/>
      <c r="F19" s="155" t="e">
        <f>+E19/$M$19</f>
        <v>#DIV/0!</v>
      </c>
      <c r="G19" s="42"/>
      <c r="H19" s="155" t="e">
        <f>+G19/$M$19</f>
        <v>#DIV/0!</v>
      </c>
      <c r="I19" s="42">
        <v>0</v>
      </c>
      <c r="J19" s="155" t="e">
        <f>+I19/$M$19</f>
        <v>#DIV/0!</v>
      </c>
      <c r="K19" s="42"/>
      <c r="L19" s="155" t="e">
        <f>+K19/$M$19</f>
        <v>#DIV/0!</v>
      </c>
      <c r="M19" s="237">
        <f t="shared" ref="M19" si="2">+C19+E19+G19+I19+K19</f>
        <v>0</v>
      </c>
      <c r="N19" s="25"/>
      <c r="O19" s="140"/>
      <c r="P19" s="91"/>
    </row>
    <row r="20" spans="1:16" ht="18" hidden="1" outlineLevel="1">
      <c r="A20" s="1"/>
      <c r="B20" s="26" t="s">
        <v>384</v>
      </c>
      <c r="C20" s="42"/>
      <c r="D20" s="155"/>
      <c r="E20" s="42"/>
      <c r="F20" s="155"/>
      <c r="G20" s="42"/>
      <c r="H20" s="155"/>
      <c r="I20" s="42"/>
      <c r="J20" s="155"/>
      <c r="K20" s="42"/>
      <c r="L20" s="155"/>
      <c r="M20" s="42">
        <f t="shared" ref="M20:M23" si="3">SUM(C20:I20)</f>
        <v>0</v>
      </c>
      <c r="O20" s="97"/>
      <c r="P20" s="91"/>
    </row>
    <row r="21" spans="1:16" ht="18" hidden="1" outlineLevel="1">
      <c r="A21" s="1"/>
      <c r="B21" s="26" t="s">
        <v>385</v>
      </c>
      <c r="C21" s="42"/>
      <c r="D21" s="155"/>
      <c r="E21" s="42"/>
      <c r="F21" s="155"/>
      <c r="G21" s="42"/>
      <c r="H21" s="155"/>
      <c r="I21" s="42"/>
      <c r="J21" s="155"/>
      <c r="K21" s="42"/>
      <c r="L21" s="155"/>
      <c r="M21" s="42">
        <f t="shared" si="3"/>
        <v>0</v>
      </c>
    </row>
    <row r="22" spans="1:16" ht="18" hidden="1" outlineLevel="1">
      <c r="A22" s="1"/>
      <c r="B22" s="26" t="s">
        <v>386</v>
      </c>
      <c r="C22" s="42"/>
      <c r="D22" s="155"/>
      <c r="E22" s="42"/>
      <c r="F22" s="155"/>
      <c r="G22" s="42"/>
      <c r="H22" s="155"/>
      <c r="I22" s="42"/>
      <c r="J22" s="155"/>
      <c r="K22" s="42"/>
      <c r="L22" s="155"/>
      <c r="M22" s="42">
        <f t="shared" si="3"/>
        <v>0</v>
      </c>
    </row>
    <row r="23" spans="1:16" ht="17.25" hidden="1" customHeight="1" outlineLevel="1">
      <c r="B23" s="26" t="s">
        <v>387</v>
      </c>
      <c r="C23" s="42"/>
      <c r="D23" s="155"/>
      <c r="E23" s="42"/>
      <c r="F23" s="155"/>
      <c r="G23" s="42"/>
      <c r="H23" s="155"/>
      <c r="I23" s="42"/>
      <c r="J23" s="155"/>
      <c r="K23" s="42"/>
      <c r="L23" s="155"/>
      <c r="M23" s="42">
        <f t="shared" si="3"/>
        <v>0</v>
      </c>
    </row>
    <row r="24" spans="1:16" ht="20.25" outlineLevel="1">
      <c r="A24" s="2"/>
      <c r="B24" s="225" t="s">
        <v>388</v>
      </c>
      <c r="C24" s="241">
        <f t="shared" ref="C24:M24" si="4">SUM(C19:C23)</f>
        <v>0</v>
      </c>
      <c r="D24" s="241"/>
      <c r="E24" s="241">
        <f t="shared" si="4"/>
        <v>0</v>
      </c>
      <c r="F24" s="241"/>
      <c r="G24" s="241">
        <f t="shared" si="4"/>
        <v>0</v>
      </c>
      <c r="H24" s="241"/>
      <c r="I24" s="241">
        <f t="shared" si="4"/>
        <v>0</v>
      </c>
      <c r="J24" s="241"/>
      <c r="K24" s="241">
        <f t="shared" si="4"/>
        <v>0</v>
      </c>
      <c r="L24" s="241"/>
      <c r="M24" s="241">
        <f t="shared" si="4"/>
        <v>0</v>
      </c>
    </row>
    <row r="25" spans="1:16" ht="12.75" customHeight="1" outlineLevel="1">
      <c r="A25" s="2"/>
      <c r="B25" s="26"/>
      <c r="C25" s="225"/>
      <c r="D25" s="225"/>
      <c r="E25" s="241"/>
      <c r="F25" s="241"/>
    </row>
    <row r="26" spans="1:16" ht="7.5" customHeight="1">
      <c r="A26" s="31"/>
      <c r="B26" s="31"/>
      <c r="C26" s="31"/>
      <c r="D26" s="31"/>
      <c r="E26" s="31"/>
      <c r="F26" s="31"/>
      <c r="G26" s="32"/>
      <c r="H26" s="32"/>
      <c r="I26" s="33"/>
      <c r="J26" s="33"/>
      <c r="K26" s="33"/>
      <c r="L26" s="33"/>
      <c r="M26" s="31"/>
      <c r="N26" s="31"/>
    </row>
    <row r="27" spans="1:16" ht="9.75" customHeight="1" outlineLevel="1"/>
    <row r="28" spans="1:16" outlineLevel="1">
      <c r="A28" s="13" t="s">
        <v>389</v>
      </c>
      <c r="F28" s="4"/>
    </row>
    <row r="29" spans="1:16" ht="7.5" customHeight="1" outlineLevel="1"/>
    <row r="30" spans="1:16" s="25" customFormat="1" ht="11.25" outlineLevel="1">
      <c r="B30" s="28"/>
      <c r="C30" s="29" t="s">
        <v>293</v>
      </c>
      <c r="D30" s="29" t="s">
        <v>294</v>
      </c>
      <c r="E30" s="29" t="s">
        <v>377</v>
      </c>
      <c r="F30" s="29" t="s">
        <v>294</v>
      </c>
      <c r="G30" s="29" t="s">
        <v>269</v>
      </c>
      <c r="H30" s="29" t="s">
        <v>294</v>
      </c>
      <c r="I30" s="29" t="s">
        <v>265</v>
      </c>
      <c r="J30" s="29" t="s">
        <v>294</v>
      </c>
      <c r="K30" s="29" t="s">
        <v>295</v>
      </c>
      <c r="L30" s="29" t="s">
        <v>294</v>
      </c>
      <c r="M30" s="29" t="s">
        <v>296</v>
      </c>
    </row>
    <row r="31" spans="1:16" ht="18" outlineLevel="1">
      <c r="A31" s="1"/>
      <c r="B31" s="26" t="s">
        <v>390</v>
      </c>
      <c r="C31" s="42"/>
      <c r="D31" s="155" t="e">
        <f>+C31/$M$31</f>
        <v>#DIV/0!</v>
      </c>
      <c r="E31" s="42"/>
      <c r="F31" s="155" t="e">
        <f>+E31/$M$31</f>
        <v>#DIV/0!</v>
      </c>
      <c r="G31" s="42"/>
      <c r="H31" s="155" t="e">
        <f>+G31/$M$31</f>
        <v>#DIV/0!</v>
      </c>
      <c r="I31" s="42"/>
      <c r="J31" s="155" t="e">
        <f>+I31/$M$31</f>
        <v>#DIV/0!</v>
      </c>
      <c r="K31" s="42">
        <v>0</v>
      </c>
      <c r="L31" s="155" t="e">
        <f>+K31/M31</f>
        <v>#DIV/0!</v>
      </c>
      <c r="M31" s="42">
        <f t="shared" ref="M31:M36" si="5">+C31+E31+G31+I31+K31</f>
        <v>0</v>
      </c>
    </row>
    <row r="32" spans="1:16" ht="18" outlineLevel="1">
      <c r="A32" s="1"/>
      <c r="B32" s="26" t="s">
        <v>391</v>
      </c>
      <c r="C32" s="237"/>
      <c r="D32" s="155" t="e">
        <f>+C32/$M$31</f>
        <v>#DIV/0!</v>
      </c>
      <c r="E32" s="42"/>
      <c r="F32" s="155" t="e">
        <f>+E32/$M$31</f>
        <v>#DIV/0!</v>
      </c>
      <c r="G32" s="42"/>
      <c r="H32" s="155" t="e">
        <f>+G32/$M$31</f>
        <v>#DIV/0!</v>
      </c>
      <c r="I32" s="42"/>
      <c r="J32" s="155" t="e">
        <f>+I32/$M$31</f>
        <v>#DIV/0!</v>
      </c>
      <c r="K32" s="42"/>
      <c r="L32" s="155" t="e">
        <f>+K32/M32</f>
        <v>#DIV/0!</v>
      </c>
      <c r="M32" s="42">
        <f>+C32+E32+G32+I32+K32</f>
        <v>0</v>
      </c>
    </row>
    <row r="33" spans="1:16" ht="18" outlineLevel="1">
      <c r="A33" s="1"/>
      <c r="B33" s="26" t="s">
        <v>392</v>
      </c>
      <c r="C33" s="42"/>
      <c r="D33" s="155" t="e">
        <f>+C33/$M$33</f>
        <v>#DIV/0!</v>
      </c>
      <c r="E33" s="42"/>
      <c r="F33" s="155" t="e">
        <f>+E33/$M$33</f>
        <v>#DIV/0!</v>
      </c>
      <c r="G33" s="42"/>
      <c r="H33" s="155" t="e">
        <f>+G33/$M$33</f>
        <v>#DIV/0!</v>
      </c>
      <c r="I33" s="42"/>
      <c r="J33" s="155" t="e">
        <f>+I33/$M$33</f>
        <v>#DIV/0!</v>
      </c>
      <c r="K33" s="42">
        <v>0</v>
      </c>
      <c r="L33" s="155" t="e">
        <f>+K33/$M$33</f>
        <v>#DIV/0!</v>
      </c>
      <c r="M33" s="42">
        <f t="shared" si="5"/>
        <v>0</v>
      </c>
      <c r="N33" s="25"/>
    </row>
    <row r="34" spans="1:16" ht="18" hidden="1" outlineLevel="1">
      <c r="A34" s="1"/>
      <c r="B34" s="309"/>
      <c r="C34" s="291"/>
      <c r="D34" s="310" t="e">
        <f t="shared" ref="D34:D36" si="6">+C34/$M$33</f>
        <v>#DIV/0!</v>
      </c>
      <c r="E34" s="291"/>
      <c r="F34" s="310" t="e">
        <f t="shared" ref="F34:F36" si="7">+E34/$M$33</f>
        <v>#DIV/0!</v>
      </c>
      <c r="G34" s="291"/>
      <c r="H34" s="310" t="e">
        <f t="shared" ref="H34:H36" si="8">+G34/$M$33</f>
        <v>#DIV/0!</v>
      </c>
      <c r="I34" s="291"/>
      <c r="J34" s="310" t="e">
        <f t="shared" ref="J34:J36" si="9">+I34/$M$33</f>
        <v>#DIV/0!</v>
      </c>
      <c r="K34" s="291"/>
      <c r="L34" s="310" t="e">
        <f t="shared" ref="L34:L36" si="10">+K34/$M$33</f>
        <v>#DIV/0!</v>
      </c>
      <c r="M34" s="291">
        <f t="shared" si="5"/>
        <v>0</v>
      </c>
      <c r="N34" s="140"/>
    </row>
    <row r="35" spans="1:16" ht="17.25" hidden="1" customHeight="1" outlineLevel="1">
      <c r="B35" s="309"/>
      <c r="C35" s="291"/>
      <c r="D35" s="310" t="e">
        <f t="shared" si="6"/>
        <v>#DIV/0!</v>
      </c>
      <c r="E35" s="291"/>
      <c r="F35" s="310" t="e">
        <f t="shared" si="7"/>
        <v>#DIV/0!</v>
      </c>
      <c r="G35" s="291"/>
      <c r="H35" s="310" t="e">
        <f t="shared" si="8"/>
        <v>#DIV/0!</v>
      </c>
      <c r="I35" s="291"/>
      <c r="J35" s="310" t="e">
        <f t="shared" si="9"/>
        <v>#DIV/0!</v>
      </c>
      <c r="K35" s="291"/>
      <c r="L35" s="310" t="e">
        <f t="shared" si="10"/>
        <v>#DIV/0!</v>
      </c>
      <c r="M35" s="291">
        <f t="shared" si="5"/>
        <v>0</v>
      </c>
      <c r="N35" s="140"/>
    </row>
    <row r="36" spans="1:16" ht="17.25" customHeight="1" outlineLevel="1">
      <c r="B36" s="26" t="s">
        <v>393</v>
      </c>
      <c r="C36" s="42"/>
      <c r="D36" s="155" t="e">
        <f t="shared" si="6"/>
        <v>#DIV/0!</v>
      </c>
      <c r="E36" s="42"/>
      <c r="F36" s="155" t="e">
        <f t="shared" si="7"/>
        <v>#DIV/0!</v>
      </c>
      <c r="G36" s="42"/>
      <c r="H36" s="155" t="e">
        <f t="shared" si="8"/>
        <v>#DIV/0!</v>
      </c>
      <c r="I36" s="42"/>
      <c r="J36" s="155" t="e">
        <f t="shared" si="9"/>
        <v>#DIV/0!</v>
      </c>
      <c r="K36" s="42"/>
      <c r="L36" s="155" t="e">
        <f t="shared" si="10"/>
        <v>#DIV/0!</v>
      </c>
      <c r="M36" s="42">
        <f t="shared" si="5"/>
        <v>0</v>
      </c>
      <c r="N36" s="25"/>
      <c r="O36" s="170"/>
    </row>
    <row r="37" spans="1:16" ht="20.25" outlineLevel="1">
      <c r="A37" s="2"/>
      <c r="B37" s="225" t="s">
        <v>394</v>
      </c>
      <c r="C37" s="241">
        <f>SUM(C31:C36)</f>
        <v>0</v>
      </c>
      <c r="D37" s="241"/>
      <c r="E37" s="241">
        <f>SUM(E31:E36)</f>
        <v>0</v>
      </c>
      <c r="F37" s="241"/>
      <c r="G37" s="241">
        <f>SUM(G31:G36)</f>
        <v>0</v>
      </c>
      <c r="H37" s="241"/>
      <c r="I37" s="241">
        <f>SUM(I31:I36)</f>
        <v>0</v>
      </c>
      <c r="J37" s="241"/>
      <c r="K37" s="241">
        <f>SUM(K31:K36)</f>
        <v>0</v>
      </c>
      <c r="L37" s="241"/>
      <c r="M37" s="241">
        <f>SUM(M31:M36)</f>
        <v>0</v>
      </c>
    </row>
    <row r="38" spans="1:16" ht="12.75" customHeight="1" outlineLevel="1">
      <c r="A38" s="2"/>
      <c r="B38" s="26"/>
      <c r="C38" s="225"/>
      <c r="D38" s="225"/>
      <c r="E38" s="241"/>
      <c r="F38" s="241"/>
    </row>
    <row r="39" spans="1:16" ht="7.5" customHeight="1">
      <c r="A39" s="31"/>
      <c r="B39" s="31"/>
      <c r="C39" s="31"/>
      <c r="D39" s="31"/>
      <c r="E39" s="31"/>
      <c r="F39" s="31"/>
      <c r="G39" s="32"/>
      <c r="H39" s="32"/>
      <c r="I39" s="33"/>
      <c r="J39" s="33"/>
      <c r="K39" s="33"/>
      <c r="L39" s="33"/>
      <c r="M39" s="31"/>
      <c r="N39" s="31"/>
    </row>
    <row r="40" spans="1:16" ht="9.75" customHeight="1" outlineLevel="1"/>
    <row r="41" spans="1:16" outlineLevel="1">
      <c r="A41" s="13" t="s">
        <v>395</v>
      </c>
      <c r="F41" s="5"/>
      <c r="G41" s="239"/>
      <c r="H41" s="5"/>
      <c r="M41" s="170"/>
    </row>
    <row r="42" spans="1:16" ht="7.5" customHeight="1" outlineLevel="1"/>
    <row r="43" spans="1:16" s="25" customFormat="1" ht="11.25" outlineLevel="1">
      <c r="B43" s="28"/>
      <c r="C43" s="29" t="s">
        <v>293</v>
      </c>
      <c r="D43" s="29" t="s">
        <v>294</v>
      </c>
      <c r="E43" s="29" t="s">
        <v>377</v>
      </c>
      <c r="F43" s="29" t="s">
        <v>294</v>
      </c>
      <c r="G43" s="29" t="s">
        <v>269</v>
      </c>
      <c r="H43" s="29" t="s">
        <v>294</v>
      </c>
      <c r="I43" s="29" t="s">
        <v>265</v>
      </c>
      <c r="J43" s="29" t="s">
        <v>294</v>
      </c>
      <c r="K43" s="29" t="s">
        <v>295</v>
      </c>
      <c r="L43" s="29" t="s">
        <v>294</v>
      </c>
      <c r="M43" s="29" t="s">
        <v>296</v>
      </c>
    </row>
    <row r="44" spans="1:16" ht="18" outlineLevel="1">
      <c r="A44" s="1"/>
      <c r="B44" s="26" t="s">
        <v>396</v>
      </c>
      <c r="C44" s="42"/>
      <c r="D44" s="155" t="e">
        <f>+C44/$M$44</f>
        <v>#DIV/0!</v>
      </c>
      <c r="E44" s="42"/>
      <c r="F44" s="155" t="e">
        <f>+E44/$M$44</f>
        <v>#DIV/0!</v>
      </c>
      <c r="G44" s="42"/>
      <c r="H44" s="155" t="e">
        <f>+G44/$M$44</f>
        <v>#DIV/0!</v>
      </c>
      <c r="I44" s="42"/>
      <c r="J44" s="155" t="e">
        <f>+I44/$M$44</f>
        <v>#DIV/0!</v>
      </c>
      <c r="K44" s="42"/>
      <c r="L44" s="155" t="e">
        <f>+K44/$M$44</f>
        <v>#DIV/0!</v>
      </c>
      <c r="M44" s="42">
        <f t="shared" ref="M44:M48" si="11">+C44+E44+G44+I44+K44</f>
        <v>0</v>
      </c>
      <c r="N44" s="140"/>
      <c r="O44" s="186"/>
      <c r="P44" s="91"/>
    </row>
    <row r="45" spans="1:16" ht="18" outlineLevel="1">
      <c r="A45" s="1"/>
      <c r="B45" s="26" t="s">
        <v>397</v>
      </c>
      <c r="C45" s="42"/>
      <c r="D45" s="155" t="e">
        <f>+C45/$M$45</f>
        <v>#DIV/0!</v>
      </c>
      <c r="E45" s="42"/>
      <c r="F45" s="155" t="e">
        <f>+E45/$M$45</f>
        <v>#DIV/0!</v>
      </c>
      <c r="G45" s="42"/>
      <c r="H45" s="155" t="e">
        <f>+G45/$M$45</f>
        <v>#DIV/0!</v>
      </c>
      <c r="I45" s="42"/>
      <c r="J45" s="155" t="e">
        <f>+I45/$M$45</f>
        <v>#DIV/0!</v>
      </c>
      <c r="K45" s="42"/>
      <c r="L45" s="155" t="e">
        <f>+K45/$M$45</f>
        <v>#DIV/0!</v>
      </c>
      <c r="M45" s="42">
        <f t="shared" si="11"/>
        <v>0</v>
      </c>
      <c r="N45" s="25"/>
      <c r="O45" s="97"/>
      <c r="P45" s="91"/>
    </row>
    <row r="46" spans="1:16" ht="18" outlineLevel="1">
      <c r="A46" s="1"/>
      <c r="B46" s="26" t="s">
        <v>398</v>
      </c>
      <c r="C46" s="42"/>
      <c r="D46" s="155" t="e">
        <f>+C46/$M$46</f>
        <v>#DIV/0!</v>
      </c>
      <c r="E46" s="42"/>
      <c r="F46" s="155" t="e">
        <f>+E46/$M$46</f>
        <v>#DIV/0!</v>
      </c>
      <c r="G46" s="42"/>
      <c r="H46" s="155" t="e">
        <f>+G46/$M$46</f>
        <v>#DIV/0!</v>
      </c>
      <c r="I46" s="42"/>
      <c r="J46" s="155" t="e">
        <f>+I46/$M$46</f>
        <v>#DIV/0!</v>
      </c>
      <c r="K46" s="42"/>
      <c r="L46" s="155" t="e">
        <f>+K46/$M$46</f>
        <v>#DIV/0!</v>
      </c>
      <c r="M46" s="42">
        <f t="shared" si="11"/>
        <v>0</v>
      </c>
      <c r="N46" s="25"/>
      <c r="O46" s="305"/>
    </row>
    <row r="47" spans="1:16" ht="17.25" customHeight="1" outlineLevel="1">
      <c r="B47" s="26" t="s">
        <v>399</v>
      </c>
      <c r="C47" s="42"/>
      <c r="D47" s="155" t="e">
        <f>+C47/$M$47</f>
        <v>#DIV/0!</v>
      </c>
      <c r="E47" s="42"/>
      <c r="F47" s="155" t="e">
        <f>+E47/$M$47</f>
        <v>#DIV/0!</v>
      </c>
      <c r="G47" s="42"/>
      <c r="H47" s="155" t="e">
        <f>+G47/$M$47</f>
        <v>#DIV/0!</v>
      </c>
      <c r="I47" s="42"/>
      <c r="J47" s="155" t="e">
        <f>+I47/$M$47</f>
        <v>#DIV/0!</v>
      </c>
      <c r="K47" s="42"/>
      <c r="L47" s="155" t="e">
        <f>+K47/$M$47</f>
        <v>#DIV/0!</v>
      </c>
      <c r="M47" s="42">
        <f t="shared" si="11"/>
        <v>0</v>
      </c>
      <c r="N47" s="25"/>
      <c r="O47" s="139"/>
    </row>
    <row r="48" spans="1:16" ht="18" outlineLevel="1">
      <c r="A48" s="1"/>
      <c r="B48" s="26" t="s">
        <v>400</v>
      </c>
      <c r="C48" s="42"/>
      <c r="D48" s="155" t="e">
        <f>+C48/$M$48</f>
        <v>#DIV/0!</v>
      </c>
      <c r="E48" s="42"/>
      <c r="F48" s="155"/>
      <c r="G48" s="42"/>
      <c r="H48" s="155"/>
      <c r="I48" s="42"/>
      <c r="J48" s="155" t="e">
        <f>+I48/$M$48</f>
        <v>#DIV/0!</v>
      </c>
      <c r="K48" s="42"/>
      <c r="L48" s="155"/>
      <c r="M48" s="42">
        <f t="shared" si="11"/>
        <v>0</v>
      </c>
      <c r="N48" s="25"/>
      <c r="O48" s="140"/>
    </row>
    <row r="49" spans="1:15" ht="20.25" outlineLevel="1">
      <c r="A49" s="2"/>
      <c r="B49" s="225" t="s">
        <v>401</v>
      </c>
      <c r="C49" s="241">
        <f>SUM(C44:C48)</f>
        <v>0</v>
      </c>
      <c r="D49" s="241"/>
      <c r="E49" s="241">
        <f>SUM(E44:E48)</f>
        <v>0</v>
      </c>
      <c r="F49" s="241"/>
      <c r="G49" s="241">
        <f>SUM(G44:G48)</f>
        <v>0</v>
      </c>
      <c r="H49" s="241"/>
      <c r="I49" s="241">
        <f>SUM(I44:I48)</f>
        <v>0</v>
      </c>
      <c r="J49" s="241"/>
      <c r="K49" s="241">
        <f>SUM(K44:K48)</f>
        <v>0</v>
      </c>
      <c r="L49" s="241"/>
      <c r="M49" s="241">
        <f>SUM(M44:M48)</f>
        <v>0</v>
      </c>
    </row>
    <row r="50" spans="1:15" ht="12.75" customHeight="1" outlineLevel="1">
      <c r="A50" s="2"/>
      <c r="B50" s="26"/>
      <c r="C50" s="225"/>
      <c r="D50" s="225"/>
      <c r="E50" s="241"/>
      <c r="F50" s="241"/>
    </row>
    <row r="51" spans="1:15" ht="7.5" customHeight="1">
      <c r="A51" s="31"/>
      <c r="B51" s="31"/>
      <c r="C51" s="31"/>
      <c r="D51" s="31"/>
      <c r="E51" s="31"/>
      <c r="F51" s="31"/>
      <c r="G51" s="32"/>
      <c r="H51" s="32"/>
      <c r="I51" s="33"/>
      <c r="J51" s="33"/>
      <c r="K51" s="33"/>
      <c r="L51" s="33"/>
      <c r="M51" s="31"/>
    </row>
    <row r="52" spans="1:15" ht="9.75" customHeight="1" outlineLevel="1"/>
    <row r="53" spans="1:15" outlineLevel="1">
      <c r="A53" s="13" t="s">
        <v>402</v>
      </c>
    </row>
    <row r="54" spans="1:15" ht="7.5" customHeight="1" outlineLevel="1"/>
    <row r="55" spans="1:15" s="25" customFormat="1" ht="11.25" outlineLevel="1">
      <c r="B55" s="28"/>
      <c r="C55" s="29" t="s">
        <v>293</v>
      </c>
      <c r="D55" s="29" t="s">
        <v>294</v>
      </c>
      <c r="E55" s="29" t="s">
        <v>377</v>
      </c>
      <c r="F55" s="29" t="s">
        <v>294</v>
      </c>
      <c r="G55" s="29" t="s">
        <v>269</v>
      </c>
      <c r="H55" s="29" t="s">
        <v>294</v>
      </c>
      <c r="I55" s="29" t="s">
        <v>265</v>
      </c>
      <c r="J55" s="29" t="s">
        <v>294</v>
      </c>
      <c r="K55" s="29" t="s">
        <v>295</v>
      </c>
      <c r="L55" s="29" t="s">
        <v>294</v>
      </c>
      <c r="M55" s="29" t="s">
        <v>296</v>
      </c>
    </row>
    <row r="56" spans="1:15" ht="18" outlineLevel="1">
      <c r="A56" s="1"/>
      <c r="B56" s="26" t="s">
        <v>403</v>
      </c>
      <c r="C56" s="42"/>
      <c r="D56" s="155"/>
      <c r="E56" s="42"/>
      <c r="F56" s="155"/>
      <c r="G56" s="42"/>
      <c r="H56" s="155"/>
      <c r="I56" s="42"/>
      <c r="J56" s="155"/>
      <c r="K56" s="42"/>
      <c r="L56" s="155"/>
      <c r="M56" s="42">
        <f>+C56+E56+G56+I56+K56</f>
        <v>0</v>
      </c>
      <c r="O56" s="25"/>
    </row>
    <row r="57" spans="1:15" ht="18" hidden="1" outlineLevel="1">
      <c r="A57" s="1"/>
      <c r="B57" s="26" t="s">
        <v>404</v>
      </c>
      <c r="C57" s="42"/>
      <c r="D57" s="155"/>
      <c r="E57" s="42">
        <v>0</v>
      </c>
      <c r="F57" s="155"/>
      <c r="G57" s="42">
        <v>0</v>
      </c>
      <c r="H57" s="155"/>
      <c r="I57" s="42">
        <v>0</v>
      </c>
      <c r="J57" s="155"/>
      <c r="K57" s="42"/>
      <c r="L57" s="155"/>
      <c r="M57" s="42">
        <f>SUM(C57:K57)</f>
        <v>0</v>
      </c>
    </row>
    <row r="58" spans="1:15" ht="18" hidden="1" outlineLevel="1">
      <c r="A58" s="1"/>
      <c r="B58" s="26" t="s">
        <v>405</v>
      </c>
      <c r="C58" s="42"/>
      <c r="D58" s="155"/>
      <c r="E58" s="42"/>
      <c r="F58" s="155"/>
      <c r="G58" s="42"/>
      <c r="H58" s="155"/>
      <c r="I58" s="42"/>
      <c r="J58" s="155"/>
      <c r="K58" s="42"/>
      <c r="L58" s="155"/>
      <c r="M58" s="42">
        <f t="shared" ref="M58:M60" si="12">SUM(C58:I58)</f>
        <v>0</v>
      </c>
    </row>
    <row r="59" spans="1:15" ht="18" hidden="1" outlineLevel="1">
      <c r="A59" s="1"/>
      <c r="B59" s="26" t="s">
        <v>406</v>
      </c>
      <c r="C59" s="42"/>
      <c r="D59" s="155"/>
      <c r="E59" s="42"/>
      <c r="F59" s="155"/>
      <c r="G59" s="42"/>
      <c r="H59" s="155"/>
      <c r="I59" s="42"/>
      <c r="J59" s="155"/>
      <c r="K59" s="42"/>
      <c r="L59" s="155"/>
      <c r="M59" s="42">
        <f t="shared" si="12"/>
        <v>0</v>
      </c>
    </row>
    <row r="60" spans="1:15" ht="17.25" hidden="1" customHeight="1" outlineLevel="1">
      <c r="B60" s="26" t="s">
        <v>407</v>
      </c>
      <c r="C60" s="42"/>
      <c r="D60" s="155"/>
      <c r="E60" s="42"/>
      <c r="F60" s="155"/>
      <c r="G60" s="42"/>
      <c r="H60" s="155"/>
      <c r="I60" s="42"/>
      <c r="J60" s="155"/>
      <c r="K60" s="42"/>
      <c r="L60" s="155"/>
      <c r="M60" s="42">
        <f t="shared" si="12"/>
        <v>0</v>
      </c>
    </row>
    <row r="61" spans="1:15" ht="20.25" outlineLevel="1">
      <c r="A61" s="2"/>
      <c r="B61" s="225" t="s">
        <v>408</v>
      </c>
      <c r="C61" s="241">
        <f t="shared" ref="C61:M61" si="13">SUM(C56:C60)</f>
        <v>0</v>
      </c>
      <c r="D61" s="241"/>
      <c r="E61" s="241">
        <f t="shared" si="13"/>
        <v>0</v>
      </c>
      <c r="F61" s="241"/>
      <c r="G61" s="241">
        <f t="shared" si="13"/>
        <v>0</v>
      </c>
      <c r="H61" s="241"/>
      <c r="I61" s="241">
        <f t="shared" si="13"/>
        <v>0</v>
      </c>
      <c r="J61" s="241"/>
      <c r="K61" s="241">
        <f t="shared" si="13"/>
        <v>0</v>
      </c>
      <c r="L61" s="241"/>
      <c r="M61" s="241">
        <f t="shared" si="13"/>
        <v>0</v>
      </c>
    </row>
    <row r="62" spans="1:15" ht="12.75" customHeight="1" outlineLevel="1">
      <c r="A62" s="2"/>
      <c r="B62" s="26"/>
      <c r="C62" s="225"/>
      <c r="D62" s="225"/>
      <c r="E62" s="241"/>
      <c r="F62" s="241"/>
    </row>
    <row r="63" spans="1:15" ht="7.5" customHeight="1">
      <c r="A63" s="31"/>
      <c r="B63" s="31"/>
      <c r="C63" s="31"/>
      <c r="D63" s="31"/>
      <c r="E63" s="31"/>
      <c r="F63" s="31"/>
      <c r="G63" s="32"/>
      <c r="H63" s="32"/>
      <c r="I63" s="33"/>
      <c r="J63" s="33"/>
      <c r="K63" s="33"/>
      <c r="L63" s="33"/>
      <c r="M63" s="31"/>
    </row>
    <row r="64" spans="1:15" ht="9.75" customHeight="1" outlineLevel="1"/>
    <row r="65" spans="1:15" outlineLevel="1">
      <c r="A65" s="13" t="s">
        <v>409</v>
      </c>
    </row>
    <row r="66" spans="1:15" ht="7.5" customHeight="1" outlineLevel="1"/>
    <row r="67" spans="1:15" s="25" customFormat="1" ht="11.25" outlineLevel="1">
      <c r="B67" s="28"/>
      <c r="C67" s="29" t="s">
        <v>293</v>
      </c>
      <c r="D67" s="29" t="s">
        <v>294</v>
      </c>
      <c r="E67" s="29" t="s">
        <v>377</v>
      </c>
      <c r="F67" s="29" t="s">
        <v>294</v>
      </c>
      <c r="G67" s="29" t="s">
        <v>269</v>
      </c>
      <c r="H67" s="29" t="s">
        <v>294</v>
      </c>
      <c r="I67" s="29" t="s">
        <v>265</v>
      </c>
      <c r="J67" s="29" t="s">
        <v>294</v>
      </c>
      <c r="K67" s="29" t="s">
        <v>295</v>
      </c>
      <c r="L67" s="29" t="s">
        <v>294</v>
      </c>
      <c r="M67" s="29" t="s">
        <v>296</v>
      </c>
      <c r="N67" s="140"/>
    </row>
    <row r="68" spans="1:15" ht="18" outlineLevel="1">
      <c r="A68" s="1"/>
      <c r="B68" s="26" t="s">
        <v>410</v>
      </c>
      <c r="C68" s="42"/>
      <c r="D68" s="155" t="e">
        <f>+C68/M68</f>
        <v>#DIV/0!</v>
      </c>
      <c r="E68" s="42"/>
      <c r="F68" s="155" t="e">
        <f>+'Tablas Imputación'!#REF!</f>
        <v>#REF!</v>
      </c>
      <c r="G68" s="42"/>
      <c r="H68" s="155" t="e">
        <f>+'Tablas Imputación'!#REF!</f>
        <v>#REF!</v>
      </c>
      <c r="I68" s="237"/>
      <c r="J68" s="155" t="e">
        <f>+I68/M68</f>
        <v>#DIV/0!</v>
      </c>
      <c r="K68" s="42"/>
      <c r="L68" s="155" t="e">
        <f>+K68/M68</f>
        <v>#DIV/0!</v>
      </c>
      <c r="M68" s="42">
        <f t="shared" ref="M68:M72" si="14">+C68+E68+G68+I68+K68</f>
        <v>0</v>
      </c>
      <c r="N68" s="25"/>
      <c r="O68" s="170"/>
    </row>
    <row r="69" spans="1:15" ht="18" outlineLevel="1">
      <c r="A69" s="1"/>
      <c r="B69" s="26" t="s">
        <v>411</v>
      </c>
      <c r="C69" s="42"/>
      <c r="D69" s="155" t="e">
        <f t="shared" ref="D69:D72" si="15">+C69/M69</f>
        <v>#DIV/0!</v>
      </c>
      <c r="E69" s="42"/>
      <c r="F69" s="155" t="e">
        <f t="shared" ref="F69:F72" si="16">+E69/M69</f>
        <v>#DIV/0!</v>
      </c>
      <c r="G69" s="42"/>
      <c r="H69" s="155" t="e">
        <f t="shared" ref="H69:H72" si="17">+G69/M69</f>
        <v>#DIV/0!</v>
      </c>
      <c r="I69" s="42"/>
      <c r="J69" s="155" t="e">
        <f t="shared" ref="J69:J72" si="18">+I69/M69</f>
        <v>#DIV/0!</v>
      </c>
      <c r="K69" s="42"/>
      <c r="L69" s="155" t="e">
        <f t="shared" ref="L69:L72" si="19">+K69/M69</f>
        <v>#DIV/0!</v>
      </c>
      <c r="M69" s="237">
        <f t="shared" si="14"/>
        <v>0</v>
      </c>
      <c r="N69" s="25"/>
    </row>
    <row r="70" spans="1:15" ht="18" outlineLevel="1">
      <c r="A70" s="1"/>
      <c r="B70" s="26" t="s">
        <v>412</v>
      </c>
      <c r="C70" s="42"/>
      <c r="D70" s="155" t="e">
        <f t="shared" si="15"/>
        <v>#DIV/0!</v>
      </c>
      <c r="E70" s="42"/>
      <c r="F70" s="155" t="e">
        <f t="shared" si="16"/>
        <v>#DIV/0!</v>
      </c>
      <c r="G70" s="42"/>
      <c r="H70" s="155" t="e">
        <f t="shared" si="17"/>
        <v>#DIV/0!</v>
      </c>
      <c r="I70" s="42"/>
      <c r="J70" s="155" t="e">
        <f t="shared" si="18"/>
        <v>#DIV/0!</v>
      </c>
      <c r="K70" s="42"/>
      <c r="L70" s="155" t="e">
        <f t="shared" si="19"/>
        <v>#DIV/0!</v>
      </c>
      <c r="M70" s="42">
        <f t="shared" si="14"/>
        <v>0</v>
      </c>
      <c r="N70" s="25"/>
    </row>
    <row r="71" spans="1:15" ht="18" outlineLevel="1">
      <c r="A71" s="1"/>
      <c r="B71" s="26" t="s">
        <v>413</v>
      </c>
      <c r="C71" s="42"/>
      <c r="D71" s="155" t="e">
        <f t="shared" si="15"/>
        <v>#DIV/0!</v>
      </c>
      <c r="E71" s="42"/>
      <c r="F71" s="155" t="e">
        <f t="shared" si="16"/>
        <v>#DIV/0!</v>
      </c>
      <c r="G71" s="42"/>
      <c r="H71" s="155" t="e">
        <f t="shared" si="17"/>
        <v>#DIV/0!</v>
      </c>
      <c r="I71" s="42"/>
      <c r="J71" s="155" t="e">
        <f t="shared" si="18"/>
        <v>#DIV/0!</v>
      </c>
      <c r="K71" s="42"/>
      <c r="L71" s="155" t="e">
        <f t="shared" si="19"/>
        <v>#DIV/0!</v>
      </c>
      <c r="M71" s="42">
        <f t="shared" si="14"/>
        <v>0</v>
      </c>
      <c r="N71" s="25"/>
    </row>
    <row r="72" spans="1:15" ht="17.25" customHeight="1" outlineLevel="1">
      <c r="B72" s="26" t="s">
        <v>414</v>
      </c>
      <c r="C72" s="42"/>
      <c r="D72" s="155" t="e">
        <f t="shared" si="15"/>
        <v>#DIV/0!</v>
      </c>
      <c r="E72" s="42"/>
      <c r="F72" s="155" t="e">
        <f t="shared" si="16"/>
        <v>#DIV/0!</v>
      </c>
      <c r="G72" s="42"/>
      <c r="H72" s="155" t="e">
        <f t="shared" si="17"/>
        <v>#DIV/0!</v>
      </c>
      <c r="I72" s="42"/>
      <c r="J72" s="155" t="e">
        <f t="shared" si="18"/>
        <v>#DIV/0!</v>
      </c>
      <c r="K72" s="42"/>
      <c r="L72" s="155" t="e">
        <f t="shared" si="19"/>
        <v>#DIV/0!</v>
      </c>
      <c r="M72" s="42">
        <f t="shared" si="14"/>
        <v>0</v>
      </c>
      <c r="N72" s="25"/>
    </row>
    <row r="73" spans="1:15" ht="20.25" outlineLevel="1">
      <c r="A73" s="2"/>
      <c r="B73" s="225" t="s">
        <v>415</v>
      </c>
      <c r="C73" s="241">
        <f t="shared" ref="C73:M73" si="20">SUM(C68:C72)</f>
        <v>0</v>
      </c>
      <c r="D73" s="241"/>
      <c r="E73" s="241">
        <f t="shared" si="20"/>
        <v>0</v>
      </c>
      <c r="F73" s="241"/>
      <c r="G73" s="241">
        <f t="shared" si="20"/>
        <v>0</v>
      </c>
      <c r="H73" s="241"/>
      <c r="I73" s="241">
        <f t="shared" si="20"/>
        <v>0</v>
      </c>
      <c r="J73" s="241"/>
      <c r="K73" s="241">
        <f t="shared" si="20"/>
        <v>0</v>
      </c>
      <c r="L73" s="241"/>
      <c r="M73" s="241">
        <f t="shared" si="20"/>
        <v>0</v>
      </c>
      <c r="N73" s="140"/>
    </row>
    <row r="74" spans="1:15" ht="12.75" customHeight="1" outlineLevel="1">
      <c r="A74" s="2"/>
      <c r="B74" s="26"/>
      <c r="C74" s="225"/>
      <c r="D74" s="225"/>
      <c r="E74" s="241"/>
      <c r="F74" s="241"/>
    </row>
    <row r="75" spans="1:15" ht="7.5" customHeight="1">
      <c r="A75" s="31"/>
      <c r="B75" s="31"/>
      <c r="C75" s="31"/>
      <c r="D75" s="31"/>
      <c r="E75" s="31"/>
      <c r="F75" s="31"/>
      <c r="G75" s="32"/>
      <c r="H75" s="32"/>
      <c r="I75" s="33"/>
      <c r="J75" s="33"/>
      <c r="K75" s="33"/>
      <c r="L75" s="33"/>
      <c r="M75" s="31"/>
    </row>
    <row r="76" spans="1:15" ht="9.75" customHeight="1" outlineLevel="1"/>
    <row r="77" spans="1:15" outlineLevel="1">
      <c r="A77" s="13" t="s">
        <v>416</v>
      </c>
      <c r="C77" s="4"/>
      <c r="D77" s="4"/>
      <c r="E77" s="4"/>
      <c r="F77" s="4"/>
    </row>
    <row r="78" spans="1:15" ht="7.5" customHeight="1" outlineLevel="1"/>
    <row r="79" spans="1:15" s="25" customFormat="1" ht="11.25" outlineLevel="1">
      <c r="B79" s="28"/>
      <c r="C79" s="29" t="s">
        <v>293</v>
      </c>
      <c r="D79" s="29" t="s">
        <v>294</v>
      </c>
      <c r="E79" s="29" t="s">
        <v>377</v>
      </c>
      <c r="F79" s="29" t="s">
        <v>294</v>
      </c>
      <c r="G79" s="29" t="s">
        <v>269</v>
      </c>
      <c r="H79" s="29" t="s">
        <v>294</v>
      </c>
      <c r="I79" s="29" t="s">
        <v>265</v>
      </c>
      <c r="J79" s="29" t="s">
        <v>294</v>
      </c>
      <c r="K79" s="29" t="s">
        <v>295</v>
      </c>
      <c r="L79" s="29" t="s">
        <v>294</v>
      </c>
      <c r="M79" s="29" t="s">
        <v>296</v>
      </c>
    </row>
    <row r="80" spans="1:15" ht="18" outlineLevel="1">
      <c r="A80" s="1"/>
      <c r="B80" s="26" t="s">
        <v>417</v>
      </c>
      <c r="C80" s="42"/>
      <c r="D80" s="155">
        <f>+'Tablas Imputación'!$C$4</f>
        <v>0.26717557251908397</v>
      </c>
      <c r="E80" s="42"/>
      <c r="F80" s="155">
        <f>+'Tablas Imputación'!$C$5</f>
        <v>0.41221374045801529</v>
      </c>
      <c r="G80" s="42"/>
      <c r="H80" s="155">
        <f>+'Tablas Imputación'!$C$6</f>
        <v>0.23900763358778626</v>
      </c>
      <c r="I80" s="42"/>
      <c r="J80" s="155">
        <f>+'Tablas Imputación'!$C$7</f>
        <v>8.1603053435114509E-2</v>
      </c>
      <c r="K80" s="42"/>
      <c r="L80" s="155" t="e">
        <f>+K80/M80</f>
        <v>#DIV/0!</v>
      </c>
      <c r="M80" s="42">
        <f t="shared" ref="M80:M81" si="21">+C80+E80+G80+I80+K80</f>
        <v>0</v>
      </c>
      <c r="N80" s="140"/>
      <c r="O80" s="25"/>
    </row>
    <row r="81" spans="1:14" ht="18" outlineLevel="1">
      <c r="A81" s="1"/>
      <c r="B81" s="26" t="s">
        <v>418</v>
      </c>
      <c r="C81" s="42"/>
      <c r="D81" s="155"/>
      <c r="E81" s="42"/>
      <c r="F81" s="155"/>
      <c r="G81" s="42"/>
      <c r="H81" s="155"/>
      <c r="I81" s="42"/>
      <c r="J81" s="155"/>
      <c r="K81" s="42"/>
      <c r="L81" s="155"/>
      <c r="M81" s="42">
        <f t="shared" si="21"/>
        <v>0</v>
      </c>
    </row>
    <row r="82" spans="1:14" ht="18" hidden="1" outlineLevel="1">
      <c r="A82" s="1"/>
      <c r="B82" s="26"/>
      <c r="C82" s="42"/>
      <c r="D82" s="155"/>
      <c r="E82" s="42"/>
      <c r="F82" s="155"/>
      <c r="G82" s="42"/>
      <c r="H82" s="155"/>
      <c r="I82" s="42"/>
      <c r="J82" s="155"/>
      <c r="K82" s="42"/>
      <c r="L82" s="155"/>
      <c r="M82" s="42">
        <f t="shared" ref="M82:M84" si="22">SUM(C82:I82)</f>
        <v>0</v>
      </c>
    </row>
    <row r="83" spans="1:14" ht="18" hidden="1" outlineLevel="1">
      <c r="A83" s="1"/>
      <c r="B83" s="26"/>
      <c r="C83" s="42"/>
      <c r="D83" s="155"/>
      <c r="E83" s="42"/>
      <c r="F83" s="155"/>
      <c r="G83" s="42"/>
      <c r="H83" s="155"/>
      <c r="I83" s="42"/>
      <c r="J83" s="155"/>
      <c r="K83" s="42"/>
      <c r="L83" s="155"/>
      <c r="M83" s="42">
        <f t="shared" si="22"/>
        <v>0</v>
      </c>
    </row>
    <row r="84" spans="1:14" ht="17.25" hidden="1" customHeight="1" outlineLevel="1">
      <c r="B84" s="26"/>
      <c r="C84" s="42"/>
      <c r="D84" s="155"/>
      <c r="E84" s="42"/>
      <c r="F84" s="155"/>
      <c r="G84" s="42"/>
      <c r="H84" s="155"/>
      <c r="I84" s="42"/>
      <c r="J84" s="155"/>
      <c r="K84" s="42"/>
      <c r="L84" s="155"/>
      <c r="M84" s="42">
        <f t="shared" si="22"/>
        <v>0</v>
      </c>
    </row>
    <row r="85" spans="1:14" ht="20.25" outlineLevel="1">
      <c r="A85" s="2"/>
      <c r="B85" s="225" t="s">
        <v>419</v>
      </c>
      <c r="C85" s="241">
        <f>SUM(C80:C84)</f>
        <v>0</v>
      </c>
      <c r="D85" s="241"/>
      <c r="E85" s="241">
        <f>SUM(E80:E84)</f>
        <v>0</v>
      </c>
      <c r="F85" s="241"/>
      <c r="G85" s="241">
        <f>SUM(G80:G84)</f>
        <v>0</v>
      </c>
      <c r="H85" s="241"/>
      <c r="I85" s="241">
        <f>SUM(I80:I84)</f>
        <v>0</v>
      </c>
      <c r="J85" s="241"/>
      <c r="K85" s="241">
        <f>SUM(K80:K84)</f>
        <v>0</v>
      </c>
      <c r="L85" s="241"/>
      <c r="M85" s="241">
        <f>SUM(M80:M84)</f>
        <v>0</v>
      </c>
    </row>
    <row r="86" spans="1:14" ht="12.75" customHeight="1" outlineLevel="1">
      <c r="A86" s="2"/>
      <c r="B86" s="26"/>
      <c r="C86" s="225"/>
      <c r="D86" s="225"/>
      <c r="E86" s="241"/>
      <c r="F86" s="241"/>
      <c r="M86" s="241"/>
    </row>
    <row r="87" spans="1:14" ht="7.5" customHeight="1">
      <c r="A87" s="31"/>
      <c r="B87" s="31"/>
      <c r="C87" s="31"/>
      <c r="D87" s="31"/>
      <c r="E87" s="31"/>
      <c r="F87" s="31"/>
      <c r="G87" s="32"/>
      <c r="H87" s="32"/>
      <c r="I87" s="33"/>
      <c r="J87" s="33"/>
      <c r="K87" s="33"/>
      <c r="L87" s="33"/>
      <c r="M87" s="31"/>
      <c r="N87" s="31"/>
    </row>
    <row r="88" spans="1:14" ht="9.75" hidden="1" customHeight="1" outlineLevel="1"/>
    <row r="89" spans="1:14" hidden="1" outlineLevel="1">
      <c r="A89" s="13" t="s">
        <v>420</v>
      </c>
      <c r="C89" s="4"/>
      <c r="D89" s="4"/>
      <c r="E89" s="98"/>
      <c r="F89" s="98"/>
    </row>
    <row r="90" spans="1:14" ht="7.5" hidden="1" customHeight="1" outlineLevel="1"/>
    <row r="91" spans="1:14" s="25" customFormat="1" ht="11.25" hidden="1" outlineLevel="1">
      <c r="B91" s="28"/>
      <c r="C91" s="29" t="s">
        <v>322</v>
      </c>
      <c r="D91" s="29" t="s">
        <v>294</v>
      </c>
      <c r="E91" s="29" t="s">
        <v>323</v>
      </c>
      <c r="F91" s="29" t="s">
        <v>294</v>
      </c>
      <c r="G91" s="29" t="s">
        <v>325</v>
      </c>
      <c r="H91" s="29" t="s">
        <v>294</v>
      </c>
      <c r="I91" s="29" t="s">
        <v>324</v>
      </c>
      <c r="J91" s="29" t="s">
        <v>294</v>
      </c>
      <c r="K91" s="29" t="s">
        <v>326</v>
      </c>
      <c r="L91" s="29" t="s">
        <v>294</v>
      </c>
      <c r="M91" s="29" t="s">
        <v>296</v>
      </c>
    </row>
    <row r="92" spans="1:14" ht="18" hidden="1" outlineLevel="1">
      <c r="A92" s="1"/>
      <c r="B92" s="26" t="s">
        <v>421</v>
      </c>
      <c r="C92" s="42"/>
      <c r="D92" s="155"/>
      <c r="E92" s="42"/>
      <c r="F92" s="155"/>
      <c r="G92" s="42"/>
      <c r="H92" s="155"/>
      <c r="I92" s="42"/>
      <c r="J92" s="155"/>
      <c r="K92" s="42"/>
      <c r="L92" s="155"/>
      <c r="M92" s="42">
        <f>SUM(C92:I92)</f>
        <v>0</v>
      </c>
    </row>
    <row r="93" spans="1:14" ht="18" hidden="1" outlineLevel="1">
      <c r="A93" s="1"/>
      <c r="B93" s="26" t="s">
        <v>422</v>
      </c>
      <c r="C93" s="42"/>
      <c r="D93" s="155"/>
      <c r="E93" s="42"/>
      <c r="F93" s="155"/>
      <c r="G93" s="42"/>
      <c r="H93" s="155"/>
      <c r="I93" s="42"/>
      <c r="J93" s="155"/>
      <c r="K93" s="42"/>
      <c r="L93" s="155"/>
      <c r="M93" s="42">
        <f t="shared" ref="M93:M96" si="23">SUM(C93:I93)</f>
        <v>0</v>
      </c>
    </row>
    <row r="94" spans="1:14" ht="18" hidden="1" outlineLevel="1">
      <c r="A94" s="1"/>
      <c r="B94" s="26" t="s">
        <v>423</v>
      </c>
      <c r="C94" s="42"/>
      <c r="D94" s="155"/>
      <c r="E94" s="42"/>
      <c r="F94" s="155"/>
      <c r="G94" s="42"/>
      <c r="H94" s="155"/>
      <c r="I94" s="42"/>
      <c r="J94" s="155"/>
      <c r="K94" s="42"/>
      <c r="L94" s="155"/>
      <c r="M94" s="42">
        <f t="shared" si="23"/>
        <v>0</v>
      </c>
    </row>
    <row r="95" spans="1:14" ht="18" hidden="1" outlineLevel="1">
      <c r="A95" s="1"/>
      <c r="B95" s="26" t="s">
        <v>424</v>
      </c>
      <c r="C95" s="42"/>
      <c r="D95" s="155"/>
      <c r="E95" s="42"/>
      <c r="F95" s="155"/>
      <c r="G95" s="42"/>
      <c r="H95" s="155"/>
      <c r="I95" s="42"/>
      <c r="J95" s="155"/>
      <c r="K95" s="42"/>
      <c r="L95" s="155"/>
      <c r="M95" s="42">
        <f t="shared" si="23"/>
        <v>0</v>
      </c>
    </row>
    <row r="96" spans="1:14" ht="17.25" hidden="1" customHeight="1" outlineLevel="1">
      <c r="B96" s="26" t="s">
        <v>425</v>
      </c>
      <c r="C96" s="42"/>
      <c r="D96" s="155"/>
      <c r="E96" s="42"/>
      <c r="F96" s="155"/>
      <c r="G96" s="42"/>
      <c r="H96" s="155"/>
      <c r="I96" s="42"/>
      <c r="J96" s="155"/>
      <c r="K96" s="42"/>
      <c r="L96" s="155"/>
      <c r="M96" s="42">
        <f t="shared" si="23"/>
        <v>0</v>
      </c>
    </row>
    <row r="97" spans="1:15" ht="20.25" hidden="1" outlineLevel="1">
      <c r="A97" s="2"/>
      <c r="B97" s="225" t="s">
        <v>426</v>
      </c>
      <c r="C97" s="241">
        <f t="shared" ref="C97:I97" si="24">SUM(C92:C96)</f>
        <v>0</v>
      </c>
      <c r="D97" s="241"/>
      <c r="E97" s="241">
        <f t="shared" si="24"/>
        <v>0</v>
      </c>
      <c r="F97" s="241"/>
      <c r="G97" s="241">
        <f t="shared" si="24"/>
        <v>0</v>
      </c>
      <c r="H97" s="241"/>
      <c r="I97" s="241">
        <f t="shared" si="24"/>
        <v>0</v>
      </c>
      <c r="J97" s="241"/>
      <c r="K97" s="241">
        <f t="shared" ref="K97" si="25">SUM(K92:K96)</f>
        <v>0</v>
      </c>
      <c r="L97" s="241"/>
      <c r="M97" s="241">
        <f>SUM(M92:M96)</f>
        <v>0</v>
      </c>
    </row>
    <row r="98" spans="1:15" ht="12.75" hidden="1" customHeight="1" outlineLevel="1">
      <c r="A98" s="2"/>
      <c r="B98" s="26"/>
      <c r="C98" s="225"/>
      <c r="D98" s="225"/>
      <c r="E98" s="241"/>
      <c r="F98" s="241"/>
    </row>
    <row r="99" spans="1:15" ht="7.5" hidden="1" customHeight="1" outlineLevel="1">
      <c r="A99" s="31"/>
      <c r="B99" s="31"/>
      <c r="C99" s="31"/>
      <c r="D99" s="31"/>
      <c r="E99" s="31"/>
      <c r="F99" s="31"/>
      <c r="G99" s="32"/>
      <c r="H99" s="32"/>
      <c r="I99" s="33"/>
      <c r="J99" s="33"/>
      <c r="K99" s="33"/>
      <c r="L99" s="33"/>
      <c r="M99" s="31"/>
      <c r="N99" s="31"/>
    </row>
    <row r="100" spans="1:15" ht="7.5" customHeight="1" collapsed="1">
      <c r="I100" s="96"/>
      <c r="J100" s="96"/>
      <c r="K100" s="96"/>
      <c r="L100" s="96"/>
    </row>
    <row r="101" spans="1:15" ht="9.75" customHeight="1" outlineLevel="1"/>
    <row r="102" spans="1:15" outlineLevel="1">
      <c r="A102" s="13" t="s">
        <v>427</v>
      </c>
      <c r="C102" s="4"/>
      <c r="D102" s="4"/>
      <c r="E102" s="4"/>
      <c r="F102" s="4"/>
      <c r="N102" s="170"/>
    </row>
    <row r="103" spans="1:15" ht="7.5" customHeight="1" outlineLevel="1">
      <c r="N103" s="25"/>
    </row>
    <row r="104" spans="1:15" s="25" customFormat="1" ht="11.25" outlineLevel="1">
      <c r="B104" s="28"/>
      <c r="C104" s="29" t="s">
        <v>293</v>
      </c>
      <c r="D104" s="29" t="s">
        <v>294</v>
      </c>
      <c r="E104" s="29" t="s">
        <v>377</v>
      </c>
      <c r="F104" s="29" t="s">
        <v>294</v>
      </c>
      <c r="G104" s="29" t="s">
        <v>269</v>
      </c>
      <c r="H104" s="29" t="s">
        <v>294</v>
      </c>
      <c r="I104" s="29" t="s">
        <v>265</v>
      </c>
      <c r="J104" s="29" t="s">
        <v>294</v>
      </c>
      <c r="K104" s="29" t="s">
        <v>295</v>
      </c>
      <c r="L104" s="29" t="s">
        <v>294</v>
      </c>
      <c r="M104" s="29" t="s">
        <v>296</v>
      </c>
      <c r="N104" s="140"/>
    </row>
    <row r="105" spans="1:15" ht="18" outlineLevel="1">
      <c r="A105" s="1"/>
      <c r="B105" s="26" t="s">
        <v>428</v>
      </c>
      <c r="C105" s="42"/>
      <c r="D105" s="169" t="e">
        <f>+C105/M105</f>
        <v>#DIV/0!</v>
      </c>
      <c r="E105" s="42"/>
      <c r="F105" s="155" t="e">
        <f t="shared" ref="D105:F110" si="26">+E105/M105</f>
        <v>#DIV/0!</v>
      </c>
      <c r="G105" s="42"/>
      <c r="H105" s="155" t="e">
        <f t="shared" ref="H105:H110" si="27">+G105/M105</f>
        <v>#DIV/0!</v>
      </c>
      <c r="I105" s="42"/>
      <c r="J105" s="155" t="e">
        <f t="shared" ref="J105:J110" si="28">+I105/M105</f>
        <v>#DIV/0!</v>
      </c>
      <c r="L105" s="155">
        <v>0</v>
      </c>
      <c r="M105" s="42">
        <f>+C105+E105+G105+I105</f>
        <v>0</v>
      </c>
      <c r="N105" s="25"/>
      <c r="O105" s="25"/>
    </row>
    <row r="106" spans="1:15" ht="18" outlineLevel="1">
      <c r="A106" s="1"/>
      <c r="B106" s="26" t="s">
        <v>429</v>
      </c>
      <c r="C106" s="42"/>
      <c r="D106" s="169" t="e">
        <f t="shared" ref="D106:D110" si="29">+C106/M106</f>
        <v>#DIV/0!</v>
      </c>
      <c r="E106" s="42"/>
      <c r="F106" s="155" t="e">
        <f t="shared" si="26"/>
        <v>#DIV/0!</v>
      </c>
      <c r="G106" s="42"/>
      <c r="H106" s="155" t="e">
        <f t="shared" si="27"/>
        <v>#DIV/0!</v>
      </c>
      <c r="I106" s="42"/>
      <c r="J106" s="155" t="e">
        <f t="shared" si="28"/>
        <v>#DIV/0!</v>
      </c>
      <c r="K106" s="42"/>
      <c r="L106" s="155">
        <v>0</v>
      </c>
      <c r="M106" s="42">
        <f>+C106+E106+G106+I106+K106</f>
        <v>0</v>
      </c>
      <c r="N106" s="25"/>
      <c r="O106" s="25"/>
    </row>
    <row r="107" spans="1:15" ht="18" outlineLevel="1">
      <c r="A107" s="1"/>
      <c r="B107" s="26" t="s">
        <v>430</v>
      </c>
      <c r="C107" s="42"/>
      <c r="D107" s="169" t="e">
        <f t="shared" si="29"/>
        <v>#DIV/0!</v>
      </c>
      <c r="E107" s="42"/>
      <c r="F107" s="155" t="e">
        <f t="shared" si="26"/>
        <v>#DIV/0!</v>
      </c>
      <c r="G107" s="42"/>
      <c r="H107" s="155" t="e">
        <f t="shared" si="27"/>
        <v>#DIV/0!</v>
      </c>
      <c r="I107" s="42"/>
      <c r="J107" s="155" t="e">
        <f t="shared" si="28"/>
        <v>#DIV/0!</v>
      </c>
      <c r="K107" s="42"/>
      <c r="L107" s="155">
        <v>1</v>
      </c>
      <c r="M107" s="42">
        <f t="shared" ref="M107:M110" si="30">+C107+E107+G107+I107+K107</f>
        <v>0</v>
      </c>
      <c r="N107" s="25"/>
      <c r="O107" s="25"/>
    </row>
    <row r="108" spans="1:15" ht="18" outlineLevel="1">
      <c r="A108" s="1"/>
      <c r="B108" s="26" t="s">
        <v>431</v>
      </c>
      <c r="C108" s="42"/>
      <c r="D108" s="169" t="e">
        <f t="shared" si="29"/>
        <v>#DIV/0!</v>
      </c>
      <c r="E108" s="42"/>
      <c r="F108" s="155" t="e">
        <f t="shared" si="26"/>
        <v>#DIV/0!</v>
      </c>
      <c r="G108" s="42"/>
      <c r="H108" s="155" t="e">
        <f t="shared" si="27"/>
        <v>#DIV/0!</v>
      </c>
      <c r="I108" s="42"/>
      <c r="J108" s="155" t="e">
        <f t="shared" si="28"/>
        <v>#DIV/0!</v>
      </c>
      <c r="K108" s="42"/>
      <c r="L108" s="155">
        <v>0</v>
      </c>
      <c r="M108" s="42">
        <f t="shared" si="30"/>
        <v>0</v>
      </c>
      <c r="N108" s="25"/>
      <c r="O108" s="25"/>
    </row>
    <row r="109" spans="1:15" ht="17.25" hidden="1" customHeight="1" outlineLevel="1">
      <c r="B109" s="26"/>
      <c r="C109" s="42"/>
      <c r="D109" s="169" t="e">
        <f t="shared" si="29"/>
        <v>#DIV/0!</v>
      </c>
      <c r="E109" s="42"/>
      <c r="F109" s="155" t="e">
        <f t="shared" si="26"/>
        <v>#DIV/0!</v>
      </c>
      <c r="G109" s="42"/>
      <c r="H109" s="155" t="e">
        <f t="shared" si="27"/>
        <v>#DIV/0!</v>
      </c>
      <c r="I109" s="42"/>
      <c r="J109" s="155" t="e">
        <f t="shared" si="28"/>
        <v>#DIV/0!</v>
      </c>
      <c r="K109" s="42"/>
      <c r="L109" s="155">
        <v>0</v>
      </c>
      <c r="M109" s="42">
        <f t="shared" si="30"/>
        <v>0</v>
      </c>
      <c r="N109" s="25"/>
      <c r="O109" s="25"/>
    </row>
    <row r="110" spans="1:15" ht="17.25" customHeight="1" outlineLevel="1">
      <c r="B110" s="26" t="s">
        <v>432</v>
      </c>
      <c r="C110" s="42"/>
      <c r="D110" s="169" t="e">
        <f t="shared" si="29"/>
        <v>#DIV/0!</v>
      </c>
      <c r="E110" s="42"/>
      <c r="F110" s="155" t="e">
        <f t="shared" si="26"/>
        <v>#DIV/0!</v>
      </c>
      <c r="G110" s="42"/>
      <c r="H110" s="155" t="e">
        <f t="shared" si="27"/>
        <v>#DIV/0!</v>
      </c>
      <c r="I110" s="42"/>
      <c r="J110" s="155" t="e">
        <f t="shared" si="28"/>
        <v>#DIV/0!</v>
      </c>
      <c r="K110" s="42"/>
      <c r="L110" s="155">
        <v>0</v>
      </c>
      <c r="M110" s="42">
        <f t="shared" si="30"/>
        <v>0</v>
      </c>
      <c r="N110" s="25"/>
    </row>
    <row r="111" spans="1:15" ht="20.25" outlineLevel="1">
      <c r="A111" s="2"/>
      <c r="B111" s="225" t="s">
        <v>433</v>
      </c>
      <c r="C111" s="241">
        <f t="shared" ref="C111:M111" si="31">SUM(C105:C110)</f>
        <v>0</v>
      </c>
      <c r="D111" s="171" t="e">
        <f t="shared" ref="D111" si="32">+C111/M111</f>
        <v>#DIV/0!</v>
      </c>
      <c r="E111" s="241">
        <f t="shared" si="31"/>
        <v>0</v>
      </c>
      <c r="F111" s="171" t="e">
        <f t="shared" ref="F111" si="33">+E111/M111</f>
        <v>#DIV/0!</v>
      </c>
      <c r="G111" s="241">
        <f t="shared" si="31"/>
        <v>0</v>
      </c>
      <c r="H111" s="171" t="e">
        <f t="shared" ref="H111" si="34">+G111/M111</f>
        <v>#DIV/0!</v>
      </c>
      <c r="I111" s="241">
        <f t="shared" si="31"/>
        <v>0</v>
      </c>
      <c r="J111" s="171" t="e">
        <f t="shared" ref="J111" si="35">+I111/M111</f>
        <v>#DIV/0!</v>
      </c>
      <c r="K111" s="241">
        <f t="shared" si="31"/>
        <v>0</v>
      </c>
      <c r="L111" s="171" t="e">
        <f t="shared" ref="L111" si="36">+K111/M111</f>
        <v>#DIV/0!</v>
      </c>
      <c r="M111" s="241">
        <f t="shared" si="31"/>
        <v>0</v>
      </c>
    </row>
    <row r="112" spans="1:15" ht="12.75" customHeight="1" outlineLevel="1">
      <c r="A112" s="2"/>
      <c r="B112" s="26"/>
      <c r="C112" s="225"/>
      <c r="D112" s="225"/>
      <c r="E112" s="241"/>
      <c r="F112" s="241"/>
    </row>
    <row r="113" spans="1:15" ht="7.5" customHeight="1" outlineLevel="1">
      <c r="A113" s="31"/>
      <c r="B113" s="31"/>
      <c r="C113" s="31"/>
      <c r="D113" s="31"/>
      <c r="E113" s="31"/>
      <c r="F113" s="31"/>
      <c r="G113" s="32"/>
      <c r="H113" s="32"/>
      <c r="I113" s="33"/>
      <c r="J113" s="33"/>
      <c r="K113" s="33"/>
      <c r="L113" s="33"/>
      <c r="M113" s="31"/>
      <c r="N113" s="31"/>
    </row>
    <row r="114" spans="1:15" ht="9" customHeight="1"/>
    <row r="115" spans="1:15" outlineLevel="1">
      <c r="A115" s="13" t="s">
        <v>434</v>
      </c>
      <c r="C115" s="4"/>
      <c r="D115" s="4"/>
      <c r="E115" s="4"/>
      <c r="F115" s="4"/>
      <c r="N115" s="170"/>
    </row>
    <row r="116" spans="1:15" ht="7.5" customHeight="1" outlineLevel="1"/>
    <row r="117" spans="1:15" s="25" customFormat="1" ht="11.25" outlineLevel="1">
      <c r="B117" s="28"/>
      <c r="C117" s="29" t="s">
        <v>293</v>
      </c>
      <c r="D117" s="29" t="s">
        <v>294</v>
      </c>
      <c r="E117" s="29" t="s">
        <v>377</v>
      </c>
      <c r="F117" s="29" t="s">
        <v>294</v>
      </c>
      <c r="G117" s="29" t="s">
        <v>269</v>
      </c>
      <c r="H117" s="29" t="s">
        <v>294</v>
      </c>
      <c r="I117" s="29" t="s">
        <v>265</v>
      </c>
      <c r="J117" s="29" t="s">
        <v>294</v>
      </c>
      <c r="K117" s="29" t="s">
        <v>295</v>
      </c>
      <c r="L117" s="29" t="s">
        <v>294</v>
      </c>
      <c r="M117" s="29" t="s">
        <v>296</v>
      </c>
    </row>
    <row r="118" spans="1:15" ht="18" outlineLevel="1">
      <c r="A118" s="1"/>
      <c r="B118" s="26" t="s">
        <v>435</v>
      </c>
      <c r="C118" s="42"/>
      <c r="D118" s="155" t="e">
        <f>+C118/M118</f>
        <v>#DIV/0!</v>
      </c>
      <c r="E118" s="42"/>
      <c r="F118" s="155" t="e">
        <f>+E118/M118</f>
        <v>#DIV/0!</v>
      </c>
      <c r="G118" s="42"/>
      <c r="H118" s="155" t="e">
        <f>+G118/M118</f>
        <v>#DIV/0!</v>
      </c>
      <c r="I118" s="42"/>
      <c r="J118" s="155" t="e">
        <f>+I118/M118</f>
        <v>#DIV/0!</v>
      </c>
      <c r="K118" s="42"/>
      <c r="L118" s="155" t="e">
        <f>+K118/M118</f>
        <v>#DIV/0!</v>
      </c>
      <c r="M118" s="42">
        <f t="shared" ref="M118:M119" si="37">+C118+E118+G118+I118+K118</f>
        <v>0</v>
      </c>
      <c r="O118" s="285"/>
    </row>
    <row r="119" spans="1:15" ht="18" outlineLevel="1">
      <c r="A119" s="1"/>
      <c r="B119" s="26" t="s">
        <v>436</v>
      </c>
      <c r="C119" s="42"/>
      <c r="D119" s="155"/>
      <c r="E119" s="42"/>
      <c r="F119" s="155"/>
      <c r="G119" s="42"/>
      <c r="H119" s="155"/>
      <c r="I119" s="42"/>
      <c r="J119" s="155"/>
      <c r="K119" s="42"/>
      <c r="L119" s="155"/>
      <c r="M119" s="42">
        <f t="shared" si="37"/>
        <v>0</v>
      </c>
    </row>
    <row r="120" spans="1:15" ht="18" hidden="1" outlineLevel="1">
      <c r="A120" s="1"/>
      <c r="B120" s="26" t="s">
        <v>437</v>
      </c>
      <c r="C120" s="42"/>
      <c r="D120" s="155"/>
      <c r="E120" s="42"/>
      <c r="F120" s="155"/>
      <c r="G120" s="42"/>
      <c r="H120" s="155"/>
      <c r="I120" s="42"/>
      <c r="J120" s="155"/>
      <c r="K120" s="42"/>
      <c r="L120" s="155"/>
      <c r="M120" s="42">
        <f t="shared" ref="M120:M122" si="38">SUM(C120:I120)</f>
        <v>0</v>
      </c>
    </row>
    <row r="121" spans="1:15" ht="18" hidden="1" outlineLevel="1">
      <c r="A121" s="1"/>
      <c r="B121" s="26" t="s">
        <v>438</v>
      </c>
      <c r="C121" s="42"/>
      <c r="D121" s="155"/>
      <c r="E121" s="42"/>
      <c r="F121" s="155"/>
      <c r="G121" s="42"/>
      <c r="H121" s="155"/>
      <c r="I121" s="42"/>
      <c r="J121" s="155"/>
      <c r="K121" s="42"/>
      <c r="L121" s="155"/>
      <c r="M121" s="42">
        <f t="shared" si="38"/>
        <v>0</v>
      </c>
    </row>
    <row r="122" spans="1:15" ht="17.25" hidden="1" customHeight="1" outlineLevel="1">
      <c r="B122" s="26" t="s">
        <v>439</v>
      </c>
      <c r="C122" s="42"/>
      <c r="D122" s="155"/>
      <c r="E122" s="42"/>
      <c r="F122" s="155"/>
      <c r="G122" s="42"/>
      <c r="H122" s="155"/>
      <c r="I122" s="42"/>
      <c r="J122" s="155"/>
      <c r="K122" s="42"/>
      <c r="L122" s="155"/>
      <c r="M122" s="42">
        <f t="shared" si="38"/>
        <v>0</v>
      </c>
    </row>
    <row r="123" spans="1:15" ht="20.25" outlineLevel="1">
      <c r="A123" s="2"/>
      <c r="B123" s="225" t="s">
        <v>440</v>
      </c>
      <c r="C123" s="241">
        <f t="shared" ref="C123:M123" si="39">SUM(C118:C122)</f>
        <v>0</v>
      </c>
      <c r="D123" s="241"/>
      <c r="E123" s="241">
        <f t="shared" si="39"/>
        <v>0</v>
      </c>
      <c r="F123" s="241"/>
      <c r="G123" s="241">
        <f t="shared" si="39"/>
        <v>0</v>
      </c>
      <c r="H123" s="241"/>
      <c r="I123" s="241">
        <f t="shared" si="39"/>
        <v>0</v>
      </c>
      <c r="J123" s="241"/>
      <c r="K123" s="241">
        <f t="shared" si="39"/>
        <v>0</v>
      </c>
      <c r="L123" s="241"/>
      <c r="M123" s="241">
        <f t="shared" si="39"/>
        <v>0</v>
      </c>
    </row>
    <row r="124" spans="1:15" ht="12.75" customHeight="1" outlineLevel="1">
      <c r="A124" s="2"/>
      <c r="B124" s="26"/>
      <c r="C124" s="225"/>
      <c r="D124" s="225"/>
      <c r="E124" s="241"/>
      <c r="F124" s="241"/>
    </row>
    <row r="125" spans="1:15" ht="7.5" customHeight="1" outlineLevel="1">
      <c r="A125" s="31"/>
      <c r="B125" s="31"/>
      <c r="C125" s="31"/>
      <c r="D125" s="31"/>
      <c r="E125" s="31"/>
      <c r="F125" s="31"/>
      <c r="G125" s="32"/>
      <c r="H125" s="32"/>
      <c r="I125" s="33"/>
      <c r="J125" s="33"/>
      <c r="K125" s="33"/>
      <c r="L125" s="33"/>
      <c r="M125" s="31"/>
      <c r="N125" s="31"/>
    </row>
    <row r="126" spans="1:15" ht="7.5" customHeight="1">
      <c r="I126" s="96"/>
      <c r="J126" s="96"/>
      <c r="K126" s="96"/>
      <c r="L126" s="96"/>
    </row>
    <row r="127" spans="1:15" outlineLevel="1">
      <c r="A127" s="13" t="s">
        <v>441</v>
      </c>
      <c r="F127" s="4"/>
    </row>
    <row r="128" spans="1:15" ht="9" customHeight="1" outlineLevel="1">
      <c r="A128" s="1"/>
    </row>
    <row r="129" spans="1:16" s="25" customFormat="1" ht="12" customHeight="1" outlineLevel="1">
      <c r="B129" s="28"/>
      <c r="C129" s="29" t="s">
        <v>293</v>
      </c>
      <c r="D129" s="29" t="s">
        <v>294</v>
      </c>
      <c r="E129" s="29" t="s">
        <v>377</v>
      </c>
      <c r="F129" s="29" t="s">
        <v>294</v>
      </c>
      <c r="G129" s="29" t="s">
        <v>269</v>
      </c>
      <c r="H129" s="29" t="s">
        <v>294</v>
      </c>
      <c r="I129" s="29" t="s">
        <v>265</v>
      </c>
      <c r="J129" s="29" t="s">
        <v>294</v>
      </c>
      <c r="K129" s="29" t="s">
        <v>295</v>
      </c>
      <c r="L129" s="29" t="s">
        <v>294</v>
      </c>
      <c r="M129" s="29" t="s">
        <v>296</v>
      </c>
    </row>
    <row r="130" spans="1:16" ht="18" outlineLevel="1">
      <c r="A130" s="1"/>
      <c r="B130" s="26" t="s">
        <v>442</v>
      </c>
      <c r="C130" s="40"/>
      <c r="D130" s="155"/>
      <c r="E130" s="40"/>
      <c r="F130" s="155"/>
      <c r="G130" s="40"/>
      <c r="H130" s="155"/>
      <c r="I130" s="40"/>
      <c r="J130" s="155"/>
      <c r="K130" s="40"/>
      <c r="L130" s="155"/>
      <c r="M130" s="237">
        <f t="shared" ref="M130:M132" si="40">+C130+E130+G130+I130+K130</f>
        <v>0</v>
      </c>
      <c r="N130" s="25"/>
      <c r="O130" s="170"/>
    </row>
    <row r="131" spans="1:16" ht="18" hidden="1" outlineLevel="1">
      <c r="A131" s="1"/>
      <c r="B131" s="26" t="s">
        <v>442</v>
      </c>
      <c r="C131" s="40"/>
      <c r="D131" s="155"/>
      <c r="E131" s="40"/>
      <c r="F131" s="155"/>
      <c r="G131" s="40"/>
      <c r="H131" s="155"/>
      <c r="I131" s="27"/>
      <c r="J131" s="155"/>
      <c r="K131" s="40"/>
      <c r="L131" s="155"/>
      <c r="M131" s="237">
        <f t="shared" si="40"/>
        <v>0</v>
      </c>
      <c r="N131" s="140"/>
    </row>
    <row r="132" spans="1:16" ht="18" outlineLevel="1">
      <c r="A132" s="1"/>
      <c r="B132" s="26" t="s">
        <v>443</v>
      </c>
      <c r="C132" s="40"/>
      <c r="D132" s="155"/>
      <c r="E132" s="40"/>
      <c r="F132" s="155"/>
      <c r="G132" s="40"/>
      <c r="H132" s="155"/>
      <c r="I132" s="27"/>
      <c r="J132" s="155"/>
      <c r="K132" s="40"/>
      <c r="L132" s="155"/>
      <c r="M132" s="237">
        <f t="shared" si="40"/>
        <v>0</v>
      </c>
      <c r="N132" s="25"/>
    </row>
    <row r="133" spans="1:16" ht="18" hidden="1" outlineLevel="1">
      <c r="A133" s="1"/>
      <c r="B133" s="26" t="s">
        <v>443</v>
      </c>
      <c r="C133" s="40"/>
      <c r="D133" s="155"/>
      <c r="E133" s="40"/>
      <c r="F133" s="155"/>
      <c r="G133" s="40"/>
      <c r="H133" s="155"/>
      <c r="I133" s="27"/>
      <c r="J133" s="155"/>
      <c r="K133" s="27"/>
      <c r="L133" s="155"/>
      <c r="M133" s="40">
        <f t="shared" ref="M133" si="41">SUM(C133:I133)</f>
        <v>0</v>
      </c>
    </row>
    <row r="134" spans="1:16" ht="18.75" customHeight="1" outlineLevel="1">
      <c r="B134" s="354" t="s">
        <v>444</v>
      </c>
      <c r="C134" s="355">
        <f>SUM(C130:C133)</f>
        <v>0</v>
      </c>
      <c r="D134" s="155"/>
      <c r="E134" s="355">
        <f>SUM(E130:E133)</f>
        <v>0</v>
      </c>
      <c r="F134" s="155"/>
      <c r="G134" s="355">
        <f>SUM(G130:G133)</f>
        <v>0</v>
      </c>
      <c r="H134" s="155"/>
      <c r="I134" s="355">
        <f>SUM(I130:I133)</f>
        <v>0</v>
      </c>
      <c r="J134" s="155"/>
      <c r="K134" s="355">
        <f>SUM(K130:K133)</f>
        <v>0</v>
      </c>
      <c r="L134" s="155"/>
      <c r="M134" s="355">
        <f>SUM(M130:M133)</f>
        <v>0</v>
      </c>
    </row>
    <row r="135" spans="1:16" ht="9" customHeight="1" outlineLevel="1">
      <c r="A135" s="1"/>
    </row>
    <row r="136" spans="1:16" ht="7.5" customHeight="1" outlineLevel="1">
      <c r="A136" s="31"/>
      <c r="B136" s="31"/>
      <c r="C136" s="31"/>
      <c r="D136" s="31"/>
      <c r="E136" s="31"/>
      <c r="F136" s="31"/>
      <c r="G136" s="32"/>
      <c r="H136" s="32"/>
      <c r="I136" s="33"/>
      <c r="J136" s="33"/>
      <c r="K136" s="33"/>
      <c r="L136" s="33"/>
      <c r="M136" s="31"/>
      <c r="N136" s="31"/>
    </row>
    <row r="137" spans="1:16" ht="9.75" customHeight="1"/>
    <row r="138" spans="1:16" ht="18" outlineLevel="1">
      <c r="A138" s="13" t="s">
        <v>445</v>
      </c>
      <c r="C138" s="3"/>
      <c r="D138" s="3"/>
      <c r="E138" s="3"/>
      <c r="F138" s="4"/>
    </row>
    <row r="139" spans="1:16" ht="8.25" customHeight="1" outlineLevel="1"/>
    <row r="140" spans="1:16" s="25" customFormat="1" ht="11.25" outlineLevel="1">
      <c r="B140" s="28"/>
      <c r="C140" s="29" t="s">
        <v>293</v>
      </c>
      <c r="D140" s="29" t="s">
        <v>294</v>
      </c>
      <c r="E140" s="29" t="s">
        <v>377</v>
      </c>
      <c r="F140" s="29" t="s">
        <v>294</v>
      </c>
      <c r="G140" s="29" t="s">
        <v>269</v>
      </c>
      <c r="H140" s="29" t="s">
        <v>294</v>
      </c>
      <c r="I140" s="29" t="s">
        <v>265</v>
      </c>
      <c r="J140" s="29" t="s">
        <v>294</v>
      </c>
      <c r="K140" s="29" t="s">
        <v>295</v>
      </c>
      <c r="L140" s="29" t="s">
        <v>294</v>
      </c>
      <c r="M140" s="29" t="s">
        <v>296</v>
      </c>
    </row>
    <row r="141" spans="1:16" ht="16.5" customHeight="1" outlineLevel="1">
      <c r="B141" s="26" t="s">
        <v>446</v>
      </c>
      <c r="C141" s="164"/>
      <c r="D141" s="155" t="e">
        <f>+C141/M141</f>
        <v>#DIV/0!</v>
      </c>
      <c r="E141" s="164"/>
      <c r="F141" s="155" t="e">
        <f>+E141/M141</f>
        <v>#DIV/0!</v>
      </c>
      <c r="G141" s="164"/>
      <c r="H141" s="155" t="e">
        <f>+G141/M141</f>
        <v>#DIV/0!</v>
      </c>
      <c r="I141" s="40"/>
      <c r="J141" s="155" t="e">
        <f>+I141/M141</f>
        <v>#DIV/0!</v>
      </c>
      <c r="K141" s="27"/>
      <c r="L141" s="155" t="e">
        <f>+K141/M141</f>
        <v>#DIV/0!</v>
      </c>
      <c r="M141" s="237">
        <f t="shared" ref="M141:M144" si="42">+C141+E141+G141+I141+K141</f>
        <v>0</v>
      </c>
      <c r="N141" s="25"/>
      <c r="O141" s="140"/>
      <c r="P141" s="25"/>
    </row>
    <row r="142" spans="1:16" ht="16.5" customHeight="1" outlineLevel="1">
      <c r="B142" s="26" t="s">
        <v>447</v>
      </c>
      <c r="C142" s="40"/>
      <c r="D142" s="155" t="e">
        <f t="shared" ref="D142:D144" si="43">+C142/M142</f>
        <v>#DIV/0!</v>
      </c>
      <c r="E142" s="40"/>
      <c r="F142" s="155" t="e">
        <f t="shared" ref="F142:F144" si="44">+E142/M142</f>
        <v>#DIV/0!</v>
      </c>
      <c r="G142" s="40"/>
      <c r="H142" s="155" t="e">
        <f t="shared" ref="H142:H144" si="45">+G142/M142</f>
        <v>#DIV/0!</v>
      </c>
      <c r="I142" s="40"/>
      <c r="J142" s="155" t="e">
        <f t="shared" ref="J142:J144" si="46">+I142/M142</f>
        <v>#DIV/0!</v>
      </c>
      <c r="K142" s="27"/>
      <c r="L142" s="155" t="e">
        <f t="shared" ref="L142:L144" si="47">+K142/M142</f>
        <v>#DIV/0!</v>
      </c>
      <c r="M142" s="42">
        <f t="shared" si="42"/>
        <v>0</v>
      </c>
      <c r="N142" s="25"/>
    </row>
    <row r="143" spans="1:16" ht="16.5" customHeight="1" outlineLevel="1">
      <c r="B143" s="26" t="s">
        <v>448</v>
      </c>
      <c r="C143" s="164"/>
      <c r="D143" s="155" t="e">
        <f t="shared" si="43"/>
        <v>#DIV/0!</v>
      </c>
      <c r="E143" s="164"/>
      <c r="F143" s="155" t="e">
        <f t="shared" si="44"/>
        <v>#DIV/0!</v>
      </c>
      <c r="G143" s="40"/>
      <c r="H143" s="155" t="e">
        <f t="shared" si="45"/>
        <v>#DIV/0!</v>
      </c>
      <c r="I143" s="40"/>
      <c r="J143" s="155" t="e">
        <f t="shared" si="46"/>
        <v>#DIV/0!</v>
      </c>
      <c r="K143" s="27"/>
      <c r="L143" s="155" t="e">
        <f t="shared" si="47"/>
        <v>#DIV/0!</v>
      </c>
      <c r="M143" s="42">
        <f t="shared" si="42"/>
        <v>0</v>
      </c>
      <c r="N143" s="25"/>
    </row>
    <row r="144" spans="1:16" ht="15.75" customHeight="1" outlineLevel="1">
      <c r="B144" s="26" t="s">
        <v>449</v>
      </c>
      <c r="C144" s="40"/>
      <c r="D144" s="155" t="e">
        <f t="shared" si="43"/>
        <v>#DIV/0!</v>
      </c>
      <c r="E144" s="40"/>
      <c r="F144" s="155" t="e">
        <f t="shared" si="44"/>
        <v>#DIV/0!</v>
      </c>
      <c r="G144" s="40"/>
      <c r="H144" s="155" t="e">
        <f t="shared" si="45"/>
        <v>#DIV/0!</v>
      </c>
      <c r="I144" s="40"/>
      <c r="J144" s="155" t="e">
        <f t="shared" si="46"/>
        <v>#DIV/0!</v>
      </c>
      <c r="K144" s="27"/>
      <c r="L144" s="155" t="e">
        <f t="shared" si="47"/>
        <v>#DIV/0!</v>
      </c>
      <c r="M144" s="42">
        <f t="shared" si="42"/>
        <v>0</v>
      </c>
      <c r="N144" s="25"/>
    </row>
    <row r="145" spans="1:15" ht="16.5" hidden="1" customHeight="1" outlineLevel="1">
      <c r="B145" s="26" t="s">
        <v>450</v>
      </c>
      <c r="C145" s="40"/>
      <c r="D145" s="155"/>
      <c r="E145" s="40"/>
      <c r="F145" s="155"/>
      <c r="G145" s="40"/>
      <c r="H145" s="155"/>
      <c r="I145" s="27"/>
      <c r="J145" s="155"/>
      <c r="K145" s="27"/>
      <c r="L145" s="155"/>
      <c r="M145" s="40">
        <f t="shared" ref="M145" si="48">SUM(C145:I145)</f>
        <v>0</v>
      </c>
    </row>
    <row r="146" spans="1:15" ht="16.5" customHeight="1" outlineLevel="1">
      <c r="B146" s="354" t="s">
        <v>451</v>
      </c>
      <c r="C146" s="355">
        <f>SUM(C141:C145)</f>
        <v>0</v>
      </c>
      <c r="D146" s="355"/>
      <c r="E146" s="355">
        <f>SUM(E141:E145)</f>
        <v>0</v>
      </c>
      <c r="F146" s="355"/>
      <c r="G146" s="355">
        <f>SUM(G141:G145)</f>
        <v>0</v>
      </c>
      <c r="H146" s="355"/>
      <c r="I146" s="355">
        <f>SUM(I141:I145)</f>
        <v>0</v>
      </c>
      <c r="J146" s="355"/>
      <c r="K146" s="355">
        <f>SUM(K141:K145)</f>
        <v>0</v>
      </c>
      <c r="L146" s="355"/>
      <c r="M146" s="355">
        <f>SUM(M141:M145)</f>
        <v>0</v>
      </c>
    </row>
    <row r="147" spans="1:15" ht="9" customHeight="1" outlineLevel="1"/>
    <row r="148" spans="1:15" ht="7.5" customHeight="1" outlineLevel="1">
      <c r="A148" s="31"/>
      <c r="B148" s="31"/>
      <c r="C148" s="31"/>
      <c r="D148" s="31"/>
      <c r="E148" s="31"/>
      <c r="F148" s="31"/>
      <c r="G148" s="32"/>
      <c r="H148" s="32"/>
      <c r="I148" s="33"/>
      <c r="J148" s="33"/>
      <c r="K148" s="33"/>
      <c r="L148" s="33"/>
      <c r="M148" s="31"/>
      <c r="N148" s="31"/>
    </row>
    <row r="149" spans="1:15" ht="9.75" customHeight="1"/>
    <row r="150" spans="1:15" ht="18" outlineLevel="1">
      <c r="A150" s="13" t="s">
        <v>452</v>
      </c>
      <c r="C150" s="3"/>
      <c r="D150" s="3"/>
      <c r="E150" s="3"/>
      <c r="F150" s="4"/>
    </row>
    <row r="151" spans="1:15" ht="8.25" customHeight="1" outlineLevel="1"/>
    <row r="152" spans="1:15" s="25" customFormat="1" ht="11.25" outlineLevel="1">
      <c r="B152" s="28"/>
      <c r="C152" s="29" t="s">
        <v>293</v>
      </c>
      <c r="D152" s="29" t="s">
        <v>294</v>
      </c>
      <c r="E152" s="29" t="s">
        <v>377</v>
      </c>
      <c r="F152" s="29" t="s">
        <v>294</v>
      </c>
      <c r="G152" s="29" t="s">
        <v>269</v>
      </c>
      <c r="H152" s="29" t="s">
        <v>294</v>
      </c>
      <c r="I152" s="29" t="s">
        <v>265</v>
      </c>
      <c r="J152" s="29" t="s">
        <v>294</v>
      </c>
      <c r="K152" s="29" t="s">
        <v>295</v>
      </c>
      <c r="L152" s="29" t="s">
        <v>294</v>
      </c>
      <c r="M152" s="29" t="s">
        <v>296</v>
      </c>
    </row>
    <row r="153" spans="1:15" ht="16.5" customHeight="1" outlineLevel="1">
      <c r="B153" s="26" t="s">
        <v>453</v>
      </c>
      <c r="C153" s="40"/>
      <c r="D153" s="155" t="e">
        <f>+C153/M153</f>
        <v>#DIV/0!</v>
      </c>
      <c r="E153" s="164"/>
      <c r="F153" s="155" t="e">
        <f>+E153/M153</f>
        <v>#DIV/0!</v>
      </c>
      <c r="G153" s="40"/>
      <c r="H153" s="155" t="e">
        <f>+G153/M153</f>
        <v>#DIV/0!</v>
      </c>
      <c r="I153" s="40"/>
      <c r="J153" s="155" t="e">
        <f>+I153/M153</f>
        <v>#DIV/0!</v>
      </c>
      <c r="K153" s="40"/>
      <c r="L153" s="155" t="e">
        <f>+K153/M153</f>
        <v>#DIV/0!</v>
      </c>
      <c r="M153" s="42">
        <f t="shared" ref="M153:M161" si="49">+C153+E153+G153+I153+K153</f>
        <v>0</v>
      </c>
    </row>
    <row r="154" spans="1:15" ht="16.5" customHeight="1" outlineLevel="1">
      <c r="B154" s="26" t="s">
        <v>454</v>
      </c>
      <c r="C154" s="40"/>
      <c r="D154" s="155" t="e">
        <f t="shared" ref="D154:D161" si="50">+C154/M154</f>
        <v>#DIV/0!</v>
      </c>
      <c r="E154" s="164"/>
      <c r="F154" s="155" t="e">
        <f t="shared" ref="F154:F161" si="51">+E154/M154</f>
        <v>#DIV/0!</v>
      </c>
      <c r="G154" s="40"/>
      <c r="H154" s="155" t="e">
        <f t="shared" ref="H154:H161" si="52">+G154/M154</f>
        <v>#DIV/0!</v>
      </c>
      <c r="I154" s="40"/>
      <c r="J154" s="155" t="e">
        <f t="shared" ref="J154:J161" si="53">+I154/M154</f>
        <v>#DIV/0!</v>
      </c>
      <c r="K154" s="40"/>
      <c r="L154" s="155" t="e">
        <f t="shared" ref="L154:L161" si="54">+K154/M154</f>
        <v>#DIV/0!</v>
      </c>
      <c r="M154" s="42">
        <f t="shared" si="49"/>
        <v>0</v>
      </c>
      <c r="N154" s="170"/>
    </row>
    <row r="155" spans="1:15" ht="16.5" hidden="1" customHeight="1" outlineLevel="1">
      <c r="B155" s="26" t="s">
        <v>455</v>
      </c>
      <c r="C155" s="40"/>
      <c r="D155" s="155" t="e">
        <f t="shared" si="50"/>
        <v>#DIV/0!</v>
      </c>
      <c r="E155" s="164"/>
      <c r="F155" s="155" t="e">
        <f t="shared" si="51"/>
        <v>#DIV/0!</v>
      </c>
      <c r="G155" s="40"/>
      <c r="H155" s="155" t="e">
        <f t="shared" si="52"/>
        <v>#DIV/0!</v>
      </c>
      <c r="I155" s="40"/>
      <c r="J155" s="155" t="e">
        <f t="shared" si="53"/>
        <v>#DIV/0!</v>
      </c>
      <c r="K155" s="40"/>
      <c r="L155" s="155" t="e">
        <f t="shared" si="54"/>
        <v>#DIV/0!</v>
      </c>
      <c r="M155" s="42">
        <f t="shared" si="49"/>
        <v>0</v>
      </c>
    </row>
    <row r="156" spans="1:15" ht="16.5" customHeight="1" outlineLevel="1">
      <c r="B156" s="26" t="s">
        <v>456</v>
      </c>
      <c r="C156" s="40"/>
      <c r="D156" s="155" t="e">
        <f t="shared" si="50"/>
        <v>#DIV/0!</v>
      </c>
      <c r="E156" s="164"/>
      <c r="F156" s="155" t="e">
        <f t="shared" si="51"/>
        <v>#DIV/0!</v>
      </c>
      <c r="G156" s="40"/>
      <c r="H156" s="155" t="e">
        <f t="shared" si="52"/>
        <v>#DIV/0!</v>
      </c>
      <c r="I156" s="40"/>
      <c r="J156" s="155" t="e">
        <f t="shared" si="53"/>
        <v>#DIV/0!</v>
      </c>
      <c r="K156" s="40"/>
      <c r="L156" s="155" t="e">
        <f t="shared" si="54"/>
        <v>#DIV/0!</v>
      </c>
      <c r="M156" s="42">
        <f t="shared" si="49"/>
        <v>0</v>
      </c>
      <c r="N156" s="170"/>
    </row>
    <row r="157" spans="1:15" ht="16.5" customHeight="1" outlineLevel="1">
      <c r="B157" s="26" t="s">
        <v>457</v>
      </c>
      <c r="C157" s="40"/>
      <c r="D157" s="155" t="e">
        <f t="shared" si="50"/>
        <v>#DIV/0!</v>
      </c>
      <c r="E157" s="164"/>
      <c r="F157" s="155" t="e">
        <f t="shared" si="51"/>
        <v>#DIV/0!</v>
      </c>
      <c r="G157" s="40"/>
      <c r="H157" s="155" t="e">
        <f t="shared" si="52"/>
        <v>#DIV/0!</v>
      </c>
      <c r="I157" s="40"/>
      <c r="J157" s="155" t="e">
        <f t="shared" si="53"/>
        <v>#DIV/0!</v>
      </c>
      <c r="K157" s="40"/>
      <c r="L157" s="155" t="e">
        <f t="shared" si="54"/>
        <v>#DIV/0!</v>
      </c>
      <c r="M157" s="42">
        <f t="shared" si="49"/>
        <v>0</v>
      </c>
      <c r="N157" s="25"/>
      <c r="O157" s="285"/>
    </row>
    <row r="158" spans="1:15" ht="16.5" customHeight="1" outlineLevel="1">
      <c r="B158" s="26" t="s">
        <v>458</v>
      </c>
      <c r="C158" s="40"/>
      <c r="D158" s="155" t="e">
        <f t="shared" si="50"/>
        <v>#DIV/0!</v>
      </c>
      <c r="E158" s="164"/>
      <c r="F158" s="155" t="e">
        <f t="shared" si="51"/>
        <v>#DIV/0!</v>
      </c>
      <c r="G158" s="40"/>
      <c r="H158" s="155" t="e">
        <f t="shared" si="52"/>
        <v>#DIV/0!</v>
      </c>
      <c r="I158" s="40"/>
      <c r="J158" s="155" t="e">
        <f t="shared" si="53"/>
        <v>#DIV/0!</v>
      </c>
      <c r="K158" s="40"/>
      <c r="L158" s="155" t="e">
        <f t="shared" si="54"/>
        <v>#DIV/0!</v>
      </c>
      <c r="M158" s="42">
        <f t="shared" si="49"/>
        <v>0</v>
      </c>
      <c r="N158" s="170"/>
    </row>
    <row r="159" spans="1:15" ht="16.5" customHeight="1" outlineLevel="1">
      <c r="B159" s="26" t="s">
        <v>459</v>
      </c>
      <c r="C159" s="164"/>
      <c r="D159" s="155" t="e">
        <f t="shared" si="50"/>
        <v>#DIV/0!</v>
      </c>
      <c r="E159" s="164"/>
      <c r="F159" s="155" t="e">
        <f t="shared" si="51"/>
        <v>#DIV/0!</v>
      </c>
      <c r="G159" s="40"/>
      <c r="H159" s="155" t="e">
        <f t="shared" si="52"/>
        <v>#DIV/0!</v>
      </c>
      <c r="I159" s="40"/>
      <c r="J159" s="155" t="e">
        <f t="shared" si="53"/>
        <v>#DIV/0!</v>
      </c>
      <c r="K159" s="40"/>
      <c r="L159" s="155" t="e">
        <f t="shared" si="54"/>
        <v>#DIV/0!</v>
      </c>
      <c r="M159" s="42">
        <f t="shared" si="49"/>
        <v>0</v>
      </c>
      <c r="N159" s="140"/>
      <c r="O159" s="170"/>
    </row>
    <row r="160" spans="1:15" ht="16.5" customHeight="1" outlineLevel="1">
      <c r="B160" s="26" t="s">
        <v>460</v>
      </c>
      <c r="C160" s="40"/>
      <c r="D160" s="155" t="e">
        <f t="shared" si="50"/>
        <v>#DIV/0!</v>
      </c>
      <c r="E160" s="164"/>
      <c r="F160" s="155" t="e">
        <f t="shared" si="51"/>
        <v>#DIV/0!</v>
      </c>
      <c r="G160" s="40"/>
      <c r="H160" s="155" t="e">
        <f t="shared" si="52"/>
        <v>#DIV/0!</v>
      </c>
      <c r="I160" s="40"/>
      <c r="J160" s="155" t="e">
        <f t="shared" si="53"/>
        <v>#DIV/0!</v>
      </c>
      <c r="K160" s="40"/>
      <c r="L160" s="155" t="e">
        <f t="shared" si="54"/>
        <v>#DIV/0!</v>
      </c>
      <c r="M160" s="42">
        <f t="shared" si="49"/>
        <v>0</v>
      </c>
      <c r="N160" s="25"/>
      <c r="O160" s="285"/>
    </row>
    <row r="161" spans="1:20" ht="16.5" customHeight="1" outlineLevel="1">
      <c r="B161" s="26" t="s">
        <v>461</v>
      </c>
      <c r="C161" s="40"/>
      <c r="D161" s="155" t="e">
        <f t="shared" si="50"/>
        <v>#DIV/0!</v>
      </c>
      <c r="E161" s="164"/>
      <c r="F161" s="155" t="e">
        <f t="shared" si="51"/>
        <v>#DIV/0!</v>
      </c>
      <c r="G161" s="40"/>
      <c r="H161" s="155" t="e">
        <f t="shared" si="52"/>
        <v>#DIV/0!</v>
      </c>
      <c r="I161" s="40"/>
      <c r="J161" s="155" t="e">
        <f t="shared" si="53"/>
        <v>#DIV/0!</v>
      </c>
      <c r="K161" s="40"/>
      <c r="L161" s="155" t="e">
        <f t="shared" si="54"/>
        <v>#DIV/0!</v>
      </c>
      <c r="M161" s="42">
        <f t="shared" si="49"/>
        <v>0</v>
      </c>
      <c r="N161" s="25"/>
      <c r="T161" t="s">
        <v>462</v>
      </c>
    </row>
    <row r="162" spans="1:20" ht="16.5" customHeight="1" outlineLevel="1">
      <c r="B162" s="26"/>
      <c r="C162" s="40"/>
      <c r="D162" s="155"/>
      <c r="E162" s="40"/>
      <c r="F162" s="155"/>
      <c r="G162" s="40"/>
      <c r="H162" s="155"/>
      <c r="I162" s="40"/>
      <c r="J162" s="155"/>
      <c r="K162" s="40"/>
      <c r="L162" s="155"/>
      <c r="M162" s="42"/>
    </row>
    <row r="163" spans="1:20" ht="16.5" customHeight="1" outlineLevel="1">
      <c r="B163" s="354" t="s">
        <v>463</v>
      </c>
      <c r="C163" s="355">
        <f>SUM(C153:C162)</f>
        <v>0</v>
      </c>
      <c r="D163" s="355"/>
      <c r="E163" s="355">
        <f>SUM(E153:E162)</f>
        <v>0</v>
      </c>
      <c r="F163" s="355"/>
      <c r="G163" s="355">
        <f>SUM(G153:G162)</f>
        <v>0</v>
      </c>
      <c r="H163" s="355"/>
      <c r="I163" s="355">
        <f>SUM(I153:I162)</f>
        <v>0</v>
      </c>
      <c r="J163" s="355"/>
      <c r="K163" s="355">
        <f>SUM(K153:K162)</f>
        <v>0</v>
      </c>
      <c r="L163" s="355"/>
      <c r="M163" s="355">
        <f>SUM(M153:M162)</f>
        <v>0</v>
      </c>
    </row>
    <row r="164" spans="1:20" ht="9" customHeight="1" outlineLevel="1"/>
    <row r="165" spans="1:20" ht="7.5" customHeight="1" outlineLevel="1">
      <c r="A165" s="31"/>
      <c r="B165" s="31"/>
      <c r="C165" s="31"/>
      <c r="D165" s="31"/>
      <c r="E165" s="31"/>
      <c r="F165" s="31"/>
      <c r="G165" s="32"/>
      <c r="H165" s="32"/>
      <c r="I165" s="33"/>
      <c r="J165" s="33"/>
      <c r="K165" s="33"/>
      <c r="L165" s="33"/>
      <c r="M165" s="31"/>
      <c r="N165" s="31"/>
    </row>
    <row r="166" spans="1:20" ht="9.75" customHeight="1"/>
    <row r="167" spans="1:20" ht="18" outlineLevel="1">
      <c r="A167" s="13" t="s">
        <v>464</v>
      </c>
      <c r="B167" s="138"/>
      <c r="C167" s="3"/>
      <c r="D167" s="3"/>
      <c r="E167" s="3"/>
    </row>
    <row r="168" spans="1:20" ht="8.25" customHeight="1" outlineLevel="1"/>
    <row r="169" spans="1:20" s="25" customFormat="1" ht="11.25" outlineLevel="1">
      <c r="B169" s="28"/>
      <c r="C169" s="29" t="s">
        <v>293</v>
      </c>
      <c r="D169" s="29" t="s">
        <v>294</v>
      </c>
      <c r="E169" s="29" t="s">
        <v>377</v>
      </c>
      <c r="F169" s="29" t="s">
        <v>294</v>
      </c>
      <c r="G169" s="29" t="s">
        <v>269</v>
      </c>
      <c r="H169" s="29" t="s">
        <v>294</v>
      </c>
      <c r="I169" s="29" t="s">
        <v>265</v>
      </c>
      <c r="J169" s="29" t="s">
        <v>294</v>
      </c>
      <c r="K169" s="29" t="s">
        <v>295</v>
      </c>
      <c r="L169" s="29" t="s">
        <v>294</v>
      </c>
      <c r="M169" s="29" t="s">
        <v>296</v>
      </c>
    </row>
    <row r="170" spans="1:20" ht="16.5" customHeight="1" outlineLevel="1">
      <c r="B170" s="26" t="s">
        <v>465</v>
      </c>
      <c r="C170" s="40"/>
      <c r="D170" s="155" t="e">
        <f t="shared" ref="D170" si="55">+C170/M170</f>
        <v>#DIV/0!</v>
      </c>
      <c r="E170" s="40"/>
      <c r="F170" s="155" t="e">
        <f t="shared" ref="F170" si="56">+E170/M170</f>
        <v>#DIV/0!</v>
      </c>
      <c r="G170" s="40"/>
      <c r="H170" s="155" t="e">
        <f t="shared" ref="H170" si="57">+G170/M170</f>
        <v>#DIV/0!</v>
      </c>
      <c r="I170" s="40"/>
      <c r="J170" s="155" t="e">
        <f t="shared" ref="J170" si="58">+I170/M170</f>
        <v>#DIV/0!</v>
      </c>
      <c r="K170" s="40"/>
      <c r="L170" s="155" t="e">
        <f t="shared" ref="L170" si="59">+K170/M170</f>
        <v>#DIV/0!</v>
      </c>
      <c r="M170" s="42">
        <f>+C170+E170+G170+I170+K170</f>
        <v>0</v>
      </c>
      <c r="N170" s="140"/>
      <c r="O170" s="25"/>
    </row>
    <row r="171" spans="1:20" ht="16.5" customHeight="1" outlineLevel="1">
      <c r="B171" s="26" t="s">
        <v>466</v>
      </c>
      <c r="C171" s="40"/>
      <c r="D171" s="155" t="e">
        <f t="shared" ref="D171:D172" si="60">+C171/M171</f>
        <v>#DIV/0!</v>
      </c>
      <c r="E171" s="40"/>
      <c r="F171" s="155" t="e">
        <f t="shared" ref="F171:F172" si="61">+E171/M171</f>
        <v>#DIV/0!</v>
      </c>
      <c r="G171" s="40"/>
      <c r="H171" s="155" t="e">
        <f t="shared" ref="H171:H172" si="62">+G171/M171</f>
        <v>#DIV/0!</v>
      </c>
      <c r="I171" s="40"/>
      <c r="J171" s="155" t="e">
        <f t="shared" ref="J171:J172" si="63">+I171/M171</f>
        <v>#DIV/0!</v>
      </c>
      <c r="K171" s="40"/>
      <c r="L171" s="155" t="e">
        <f t="shared" ref="L171:L172" si="64">+K171/M171</f>
        <v>#DIV/0!</v>
      </c>
      <c r="M171" s="42">
        <f t="shared" ref="M171:M172" si="65">+C171+E171+G171+I171+K171</f>
        <v>0</v>
      </c>
      <c r="N171" s="25"/>
    </row>
    <row r="172" spans="1:20" ht="16.5" customHeight="1" outlineLevel="1">
      <c r="B172" s="26" t="s">
        <v>467</v>
      </c>
      <c r="C172" s="40"/>
      <c r="D172" s="155" t="e">
        <f t="shared" si="60"/>
        <v>#DIV/0!</v>
      </c>
      <c r="E172" s="40"/>
      <c r="F172" s="155" t="e">
        <f t="shared" si="61"/>
        <v>#DIV/0!</v>
      </c>
      <c r="G172" s="40"/>
      <c r="H172" s="155" t="e">
        <f t="shared" si="62"/>
        <v>#DIV/0!</v>
      </c>
      <c r="I172" s="40"/>
      <c r="J172" s="155" t="e">
        <f t="shared" si="63"/>
        <v>#DIV/0!</v>
      </c>
      <c r="K172" s="40"/>
      <c r="L172" s="155" t="e">
        <f t="shared" si="64"/>
        <v>#DIV/0!</v>
      </c>
      <c r="M172" s="42">
        <f t="shared" si="65"/>
        <v>0</v>
      </c>
      <c r="N172" s="25"/>
    </row>
    <row r="173" spans="1:20" ht="16.5" hidden="1" customHeight="1" outlineLevel="1">
      <c r="B173" s="26" t="s">
        <v>468</v>
      </c>
      <c r="C173" s="40"/>
      <c r="D173" s="155"/>
      <c r="E173" s="40"/>
      <c r="F173" s="155"/>
      <c r="G173" s="40"/>
      <c r="H173" s="155"/>
      <c r="I173" s="27"/>
      <c r="J173" s="155"/>
      <c r="K173" s="27"/>
      <c r="L173" s="155"/>
      <c r="M173" s="40">
        <f t="shared" ref="M173:M175" si="66">SUM(C173:I173)</f>
        <v>0</v>
      </c>
      <c r="N173" s="170"/>
    </row>
    <row r="174" spans="1:20" ht="16.5" hidden="1" customHeight="1" outlineLevel="1">
      <c r="B174" s="26" t="s">
        <v>469</v>
      </c>
      <c r="C174" s="40"/>
      <c r="D174" s="155"/>
      <c r="E174" s="40"/>
      <c r="F174" s="155"/>
      <c r="G174" s="40"/>
      <c r="H174" s="155"/>
      <c r="I174" s="27"/>
      <c r="J174" s="155"/>
      <c r="K174" s="27"/>
      <c r="L174" s="155"/>
      <c r="M174" s="40">
        <f t="shared" si="66"/>
        <v>0</v>
      </c>
      <c r="N174" s="170"/>
    </row>
    <row r="175" spans="1:20" ht="16.5" hidden="1" customHeight="1" outlineLevel="1">
      <c r="B175" s="26" t="s">
        <v>470</v>
      </c>
      <c r="C175" s="40"/>
      <c r="D175" s="155"/>
      <c r="E175" s="40"/>
      <c r="F175" s="155"/>
      <c r="G175" s="40"/>
      <c r="H175" s="155"/>
      <c r="I175" s="27"/>
      <c r="J175" s="155"/>
      <c r="K175" s="27"/>
      <c r="L175" s="155"/>
      <c r="M175" s="40">
        <f t="shared" si="66"/>
        <v>0</v>
      </c>
      <c r="N175" s="170"/>
    </row>
    <row r="176" spans="1:20" ht="16.5" customHeight="1" outlineLevel="1">
      <c r="B176" s="354" t="s">
        <v>463</v>
      </c>
      <c r="C176" s="355">
        <f>SUM(C170:C175)</f>
        <v>0</v>
      </c>
      <c r="D176" s="355"/>
      <c r="E176" s="355">
        <f>SUM(E170:E175)</f>
        <v>0</v>
      </c>
      <c r="F176" s="355"/>
      <c r="G176" s="355">
        <f>SUM(G170:G175)</f>
        <v>0</v>
      </c>
      <c r="H176" s="355"/>
      <c r="I176" s="355">
        <f>SUM(I170:I175)</f>
        <v>0</v>
      </c>
      <c r="J176" s="355"/>
      <c r="K176" s="355">
        <f>SUM(K170:K175)</f>
        <v>0</v>
      </c>
      <c r="L176" s="355"/>
      <c r="M176" s="355">
        <f>SUM(M170:M175)</f>
        <v>0</v>
      </c>
    </row>
    <row r="177" spans="1:15" ht="9" customHeight="1" outlineLevel="1"/>
    <row r="178" spans="1:15" ht="7.5" customHeight="1" outlineLevel="1">
      <c r="A178" s="31"/>
      <c r="B178" s="31"/>
      <c r="C178" s="31"/>
      <c r="D178" s="31"/>
      <c r="E178" s="31"/>
      <c r="F178" s="31"/>
      <c r="G178" s="32"/>
      <c r="H178" s="32"/>
      <c r="I178" s="33"/>
      <c r="J178" s="33"/>
      <c r="K178" s="33"/>
      <c r="L178" s="33"/>
      <c r="M178" s="31"/>
      <c r="N178" s="31"/>
    </row>
    <row r="179" spans="1:15" ht="9.75" customHeight="1"/>
    <row r="180" spans="1:15" ht="18" outlineLevel="1">
      <c r="A180" s="13" t="s">
        <v>471</v>
      </c>
      <c r="C180" s="3"/>
      <c r="D180" s="3"/>
      <c r="E180" s="3"/>
    </row>
    <row r="181" spans="1:15" ht="8.25" customHeight="1" outlineLevel="1"/>
    <row r="182" spans="1:15" s="25" customFormat="1" ht="11.25" outlineLevel="1">
      <c r="B182" s="28"/>
      <c r="C182" s="29" t="s">
        <v>293</v>
      </c>
      <c r="D182" s="29" t="s">
        <v>294</v>
      </c>
      <c r="E182" s="29" t="s">
        <v>377</v>
      </c>
      <c r="F182" s="29" t="s">
        <v>294</v>
      </c>
      <c r="G182" s="29" t="s">
        <v>269</v>
      </c>
      <c r="H182" s="29" t="s">
        <v>294</v>
      </c>
      <c r="I182" s="29" t="s">
        <v>265</v>
      </c>
      <c r="J182" s="29" t="s">
        <v>294</v>
      </c>
      <c r="K182" s="29" t="s">
        <v>295</v>
      </c>
      <c r="L182" s="29" t="s">
        <v>294</v>
      </c>
      <c r="M182" s="29" t="s">
        <v>296</v>
      </c>
    </row>
    <row r="183" spans="1:15" ht="16.5" customHeight="1" outlineLevel="1">
      <c r="B183" s="26" t="s">
        <v>472</v>
      </c>
      <c r="C183" s="40"/>
      <c r="D183" s="155" t="e">
        <f t="shared" ref="D183:D185" si="67">+C183/M183</f>
        <v>#DIV/0!</v>
      </c>
      <c r="E183" s="40"/>
      <c r="F183" s="155" t="e">
        <f t="shared" ref="F183:F185" si="68">+E183/M183</f>
        <v>#DIV/0!</v>
      </c>
      <c r="G183" s="40"/>
      <c r="H183" s="155" t="e">
        <f t="shared" ref="H183:H185" si="69">+G183/M183</f>
        <v>#DIV/0!</v>
      </c>
      <c r="I183" s="40"/>
      <c r="J183" s="155" t="e">
        <f t="shared" ref="J183:J185" si="70">+I183/M183</f>
        <v>#DIV/0!</v>
      </c>
      <c r="K183" s="27"/>
      <c r="L183" s="155"/>
      <c r="M183" s="42">
        <f t="shared" ref="M183:M186" si="71">+C183+E183+G183+I183+K183</f>
        <v>0</v>
      </c>
      <c r="N183" s="25"/>
      <c r="O183" s="25"/>
    </row>
    <row r="184" spans="1:15" ht="16.5" customHeight="1" outlineLevel="1">
      <c r="B184" s="26" t="s">
        <v>473</v>
      </c>
      <c r="C184" s="40"/>
      <c r="D184" s="155" t="e">
        <f t="shared" si="67"/>
        <v>#DIV/0!</v>
      </c>
      <c r="E184" s="40"/>
      <c r="F184" s="155" t="e">
        <f t="shared" si="68"/>
        <v>#DIV/0!</v>
      </c>
      <c r="G184" s="40"/>
      <c r="H184" s="155" t="e">
        <f t="shared" si="69"/>
        <v>#DIV/0!</v>
      </c>
      <c r="I184" s="40"/>
      <c r="J184" s="155" t="e">
        <f t="shared" si="70"/>
        <v>#DIV/0!</v>
      </c>
      <c r="K184" s="27"/>
      <c r="L184" s="155"/>
      <c r="M184" s="42">
        <f t="shared" si="71"/>
        <v>0</v>
      </c>
      <c r="N184" s="25"/>
      <c r="O184" s="25"/>
    </row>
    <row r="185" spans="1:15" ht="16.5" customHeight="1" outlineLevel="1">
      <c r="B185" s="26" t="s">
        <v>474</v>
      </c>
      <c r="C185" s="40"/>
      <c r="D185" s="155" t="e">
        <f t="shared" si="67"/>
        <v>#DIV/0!</v>
      </c>
      <c r="E185" s="40"/>
      <c r="F185" s="155" t="e">
        <f t="shared" si="68"/>
        <v>#DIV/0!</v>
      </c>
      <c r="G185" s="40"/>
      <c r="H185" s="155" t="e">
        <f t="shared" si="69"/>
        <v>#DIV/0!</v>
      </c>
      <c r="I185" s="40"/>
      <c r="J185" s="155" t="e">
        <f t="shared" si="70"/>
        <v>#DIV/0!</v>
      </c>
      <c r="K185" s="27"/>
      <c r="L185" s="155"/>
      <c r="M185" s="42">
        <f t="shared" si="71"/>
        <v>0</v>
      </c>
    </row>
    <row r="186" spans="1:15" ht="16.5" customHeight="1" outlineLevel="1">
      <c r="B186" s="26" t="s">
        <v>475</v>
      </c>
      <c r="C186" s="40"/>
      <c r="D186" s="155" t="e">
        <f t="shared" ref="D186" si="72">+C186/M186</f>
        <v>#DIV/0!</v>
      </c>
      <c r="E186" s="40"/>
      <c r="F186" s="155" t="e">
        <f t="shared" ref="F186" si="73">+E186/M186</f>
        <v>#DIV/0!</v>
      </c>
      <c r="G186" s="40"/>
      <c r="H186" s="155" t="e">
        <f t="shared" ref="H186" si="74">+G186/M186</f>
        <v>#DIV/0!</v>
      </c>
      <c r="I186" s="40"/>
      <c r="J186" s="155" t="e">
        <f t="shared" ref="J186" si="75">+I186/M186</f>
        <v>#DIV/0!</v>
      </c>
      <c r="K186" s="27"/>
      <c r="L186" s="155"/>
      <c r="M186" s="42">
        <f t="shared" si="71"/>
        <v>0</v>
      </c>
      <c r="N186" s="140"/>
    </row>
    <row r="187" spans="1:15" ht="16.5" hidden="1" customHeight="1" outlineLevel="1">
      <c r="B187" s="26" t="s">
        <v>476</v>
      </c>
      <c r="C187" s="40"/>
      <c r="D187" s="155"/>
      <c r="E187" s="40"/>
      <c r="F187" s="155"/>
      <c r="G187" s="40"/>
      <c r="H187" s="155"/>
      <c r="I187" s="27"/>
      <c r="J187" s="155"/>
      <c r="K187" s="27"/>
      <c r="L187" s="155"/>
      <c r="M187" s="40">
        <f t="shared" ref="M187:M188" si="76">SUM(C187:I187)</f>
        <v>0</v>
      </c>
    </row>
    <row r="188" spans="1:15" ht="16.5" hidden="1" customHeight="1" outlineLevel="1">
      <c r="B188" s="26" t="s">
        <v>477</v>
      </c>
      <c r="C188" s="40"/>
      <c r="D188" s="155"/>
      <c r="E188" s="40"/>
      <c r="F188" s="155"/>
      <c r="G188" s="40"/>
      <c r="H188" s="155"/>
      <c r="I188" s="27"/>
      <c r="J188" s="155"/>
      <c r="K188" s="27"/>
      <c r="L188" s="155"/>
      <c r="M188" s="40">
        <f t="shared" si="76"/>
        <v>0</v>
      </c>
    </row>
    <row r="189" spans="1:15" ht="16.5" customHeight="1" outlineLevel="1">
      <c r="B189" s="354" t="s">
        <v>478</v>
      </c>
      <c r="C189" s="355">
        <f>SUM(C183:C188)</f>
        <v>0</v>
      </c>
      <c r="D189" s="355"/>
      <c r="E189" s="355">
        <f>SUM(E183:E188)</f>
        <v>0</v>
      </c>
      <c r="F189" s="355"/>
      <c r="G189" s="355">
        <f>SUM(G183:G188)</f>
        <v>0</v>
      </c>
      <c r="H189" s="355"/>
      <c r="I189" s="355">
        <f>SUM(I183:I188)</f>
        <v>0</v>
      </c>
      <c r="J189" s="355"/>
      <c r="K189" s="355">
        <f>SUM(K183:K188)</f>
        <v>0</v>
      </c>
      <c r="L189" s="355"/>
      <c r="M189" s="355">
        <f>SUM(M183:M188)</f>
        <v>0</v>
      </c>
    </row>
    <row r="190" spans="1:15" ht="9" customHeight="1" outlineLevel="1"/>
    <row r="191" spans="1:15" ht="7.5" customHeight="1" outlineLevel="1">
      <c r="A191" s="31"/>
      <c r="B191" s="31"/>
      <c r="C191" s="31"/>
      <c r="D191" s="31"/>
      <c r="E191" s="31"/>
      <c r="F191" s="31"/>
      <c r="G191" s="32"/>
      <c r="H191" s="32"/>
      <c r="I191" s="33"/>
      <c r="J191" s="33"/>
      <c r="K191" s="33"/>
      <c r="L191" s="33"/>
      <c r="M191" s="31"/>
      <c r="N191" s="31"/>
    </row>
    <row r="192" spans="1:15" ht="9.75" customHeight="1"/>
    <row r="193" spans="1:14" outlineLevel="1">
      <c r="A193" s="13" t="s">
        <v>479</v>
      </c>
      <c r="F193" s="4"/>
    </row>
    <row r="194" spans="1:14" ht="8.25" customHeight="1" outlineLevel="2"/>
    <row r="195" spans="1:14" s="25" customFormat="1" ht="11.25" outlineLevel="2">
      <c r="B195" s="28" t="s">
        <v>480</v>
      </c>
      <c r="C195" s="29" t="s">
        <v>293</v>
      </c>
      <c r="D195" s="29" t="s">
        <v>294</v>
      </c>
      <c r="E195" s="29" t="s">
        <v>377</v>
      </c>
      <c r="F195" s="29" t="s">
        <v>294</v>
      </c>
      <c r="G195" s="29" t="s">
        <v>269</v>
      </c>
      <c r="H195" s="29" t="s">
        <v>294</v>
      </c>
      <c r="I195" s="29" t="s">
        <v>265</v>
      </c>
      <c r="J195" s="29" t="s">
        <v>294</v>
      </c>
      <c r="K195" s="29" t="s">
        <v>295</v>
      </c>
      <c r="L195" s="29" t="s">
        <v>294</v>
      </c>
      <c r="M195" s="29" t="s">
        <v>296</v>
      </c>
    </row>
    <row r="196" spans="1:14" ht="16.5" customHeight="1" outlineLevel="2">
      <c r="B196" s="26" t="s">
        <v>481</v>
      </c>
      <c r="C196" s="40">
        <v>0</v>
      </c>
      <c r="D196" s="155" t="e">
        <f>+C196/M196</f>
        <v>#DIV/0!</v>
      </c>
      <c r="E196" s="40"/>
      <c r="F196" s="155" t="e">
        <f>+E196/M196</f>
        <v>#DIV/0!</v>
      </c>
      <c r="G196" s="40"/>
      <c r="H196" s="155" t="e">
        <f>+G196/M196</f>
        <v>#DIV/0!</v>
      </c>
      <c r="I196" s="40">
        <v>0</v>
      </c>
      <c r="J196" s="155" t="e">
        <f>+I196/M196</f>
        <v>#DIV/0!</v>
      </c>
      <c r="K196" s="27"/>
      <c r="L196" s="155"/>
      <c r="M196" s="42">
        <f t="shared" ref="M196" si="77">+C196+E196+G196+I196+K196</f>
        <v>0</v>
      </c>
      <c r="N196" s="25"/>
    </row>
    <row r="197" spans="1:14" ht="16.5" hidden="1" customHeight="1" outlineLevel="2">
      <c r="B197" s="26" t="s">
        <v>482</v>
      </c>
      <c r="C197" s="40"/>
      <c r="D197" s="155"/>
      <c r="E197" s="40"/>
      <c r="F197" s="155"/>
      <c r="G197" s="40"/>
      <c r="H197" s="155"/>
      <c r="I197" s="27"/>
      <c r="J197" s="155"/>
      <c r="K197" s="27"/>
      <c r="L197" s="155"/>
      <c r="M197" s="40">
        <f t="shared" ref="M197:M198" si="78">SUM(C197:I197)</f>
        <v>0</v>
      </c>
    </row>
    <row r="198" spans="1:14" ht="16.5" hidden="1" customHeight="1" outlineLevel="2">
      <c r="B198" s="26" t="s">
        <v>483</v>
      </c>
      <c r="C198" s="40"/>
      <c r="D198" s="155"/>
      <c r="E198" s="40"/>
      <c r="F198" s="155"/>
      <c r="G198" s="40"/>
      <c r="H198" s="155"/>
      <c r="I198" s="27"/>
      <c r="J198" s="155"/>
      <c r="K198" s="27"/>
      <c r="L198" s="155"/>
      <c r="M198" s="40">
        <f t="shared" si="78"/>
        <v>0</v>
      </c>
    </row>
    <row r="199" spans="1:14" ht="16.5" customHeight="1" outlineLevel="2">
      <c r="B199" s="356" t="s">
        <v>484</v>
      </c>
      <c r="C199" s="355">
        <f>SUM(C196:C198)</f>
        <v>0</v>
      </c>
      <c r="D199" s="355"/>
      <c r="E199" s="355">
        <f>SUM(E196:E198)</f>
        <v>0</v>
      </c>
      <c r="F199" s="355"/>
      <c r="G199" s="355">
        <f>SUM(G196:G198)</f>
        <v>0</v>
      </c>
      <c r="H199" s="355"/>
      <c r="I199" s="355">
        <f>SUM(I196:I198)</f>
        <v>0</v>
      </c>
      <c r="J199" s="355"/>
      <c r="K199" s="355">
        <f>SUM(K196:K198)</f>
        <v>0</v>
      </c>
      <c r="L199" s="355"/>
      <c r="M199" s="355">
        <f>SUM(M196:M198)</f>
        <v>0</v>
      </c>
    </row>
    <row r="200" spans="1:14" ht="9" customHeight="1" outlineLevel="1"/>
    <row r="201" spans="1:14" s="25" customFormat="1" ht="11.25" hidden="1" outlineLevel="2">
      <c r="B201" s="28" t="s">
        <v>485</v>
      </c>
      <c r="C201" s="29" t="s">
        <v>322</v>
      </c>
      <c r="D201" s="29" t="s">
        <v>294</v>
      </c>
      <c r="E201" s="29" t="s">
        <v>323</v>
      </c>
      <c r="F201" s="29" t="s">
        <v>294</v>
      </c>
      <c r="G201" s="29" t="s">
        <v>325</v>
      </c>
      <c r="H201" s="29" t="s">
        <v>294</v>
      </c>
      <c r="I201" s="29" t="s">
        <v>324</v>
      </c>
      <c r="J201" s="29" t="s">
        <v>294</v>
      </c>
      <c r="K201" s="29" t="s">
        <v>326</v>
      </c>
      <c r="L201" s="29" t="s">
        <v>294</v>
      </c>
      <c r="M201" s="29" t="s">
        <v>486</v>
      </c>
    </row>
    <row r="202" spans="1:14" ht="16.5" hidden="1" customHeight="1" outlineLevel="2">
      <c r="B202" s="26" t="s">
        <v>487</v>
      </c>
      <c r="C202" s="40"/>
      <c r="D202" s="155"/>
      <c r="E202" s="40"/>
      <c r="F202" s="155"/>
      <c r="G202" s="40"/>
      <c r="H202" s="155"/>
      <c r="I202" s="27"/>
      <c r="J202" s="155"/>
      <c r="K202" s="27"/>
      <c r="L202" s="155"/>
      <c r="M202" s="40">
        <f>SUM(C202:I202)</f>
        <v>0</v>
      </c>
    </row>
    <row r="203" spans="1:14" ht="16.5" hidden="1" customHeight="1" outlineLevel="2">
      <c r="B203" s="26" t="s">
        <v>482</v>
      </c>
      <c r="C203" s="40"/>
      <c r="D203" s="155"/>
      <c r="E203" s="40"/>
      <c r="F203" s="155"/>
      <c r="G203" s="40"/>
      <c r="H203" s="155"/>
      <c r="I203" s="27"/>
      <c r="J203" s="155"/>
      <c r="K203" s="27"/>
      <c r="L203" s="155"/>
      <c r="M203" s="40">
        <f t="shared" ref="M203:M204" si="79">SUM(C203:I203)</f>
        <v>0</v>
      </c>
    </row>
    <row r="204" spans="1:14" ht="16.5" hidden="1" customHeight="1" outlineLevel="2">
      <c r="B204" s="26" t="s">
        <v>483</v>
      </c>
      <c r="C204" s="40"/>
      <c r="D204" s="155"/>
      <c r="E204" s="40"/>
      <c r="F204" s="155"/>
      <c r="G204" s="40"/>
      <c r="H204" s="155"/>
      <c r="I204" s="27"/>
      <c r="J204" s="155"/>
      <c r="K204" s="27"/>
      <c r="L204" s="155"/>
      <c r="M204" s="40">
        <f t="shared" si="79"/>
        <v>0</v>
      </c>
    </row>
    <row r="205" spans="1:14" ht="16.5" hidden="1" customHeight="1" outlineLevel="2">
      <c r="B205" s="356" t="s">
        <v>488</v>
      </c>
      <c r="C205" s="355">
        <f>SUM(C202:C204)</f>
        <v>0</v>
      </c>
      <c r="D205" s="355"/>
      <c r="E205" s="355">
        <f>SUM(E202:E204)</f>
        <v>0</v>
      </c>
      <c r="F205" s="355"/>
      <c r="G205" s="355">
        <f>SUM(G202:G204)</f>
        <v>0</v>
      </c>
      <c r="H205" s="355"/>
      <c r="I205" s="355">
        <f>SUM(I202:I204)</f>
        <v>0</v>
      </c>
      <c r="J205" s="355"/>
      <c r="K205" s="355">
        <f>SUM(K202:K204)</f>
        <v>0</v>
      </c>
      <c r="L205" s="355"/>
      <c r="M205" s="355">
        <f>SUM(M202:M204)</f>
        <v>0</v>
      </c>
    </row>
    <row r="206" spans="1:14" ht="9" hidden="1" customHeight="1" outlineLevel="1"/>
    <row r="207" spans="1:14" s="25" customFormat="1" ht="11.25" hidden="1" outlineLevel="2">
      <c r="B207" s="28" t="s">
        <v>489</v>
      </c>
      <c r="C207" s="29" t="s">
        <v>322</v>
      </c>
      <c r="D207" s="29" t="s">
        <v>294</v>
      </c>
      <c r="E207" s="29" t="s">
        <v>323</v>
      </c>
      <c r="F207" s="29" t="s">
        <v>294</v>
      </c>
      <c r="G207" s="29" t="s">
        <v>325</v>
      </c>
      <c r="H207" s="29" t="s">
        <v>294</v>
      </c>
      <c r="I207" s="29" t="s">
        <v>324</v>
      </c>
      <c r="J207" s="29" t="s">
        <v>294</v>
      </c>
      <c r="K207" s="29" t="s">
        <v>326</v>
      </c>
      <c r="L207" s="29" t="s">
        <v>294</v>
      </c>
      <c r="M207" s="29" t="s">
        <v>486</v>
      </c>
    </row>
    <row r="208" spans="1:14" ht="16.5" hidden="1" customHeight="1" outlineLevel="2">
      <c r="B208" s="26" t="s">
        <v>487</v>
      </c>
      <c r="C208" s="40"/>
      <c r="D208" s="155"/>
      <c r="E208" s="40"/>
      <c r="F208" s="155"/>
      <c r="G208" s="40"/>
      <c r="H208" s="155"/>
      <c r="I208" s="27"/>
      <c r="J208" s="155"/>
      <c r="K208" s="27"/>
      <c r="L208" s="155"/>
      <c r="M208" s="40">
        <f>SUM(C208:I208)</f>
        <v>0</v>
      </c>
    </row>
    <row r="209" spans="1:14" ht="16.5" hidden="1" customHeight="1" outlineLevel="2">
      <c r="B209" s="26" t="s">
        <v>482</v>
      </c>
      <c r="C209" s="40"/>
      <c r="D209" s="155"/>
      <c r="E209" s="40"/>
      <c r="F209" s="155"/>
      <c r="G209" s="40"/>
      <c r="H209" s="155"/>
      <c r="I209" s="27"/>
      <c r="J209" s="155"/>
      <c r="K209" s="27"/>
      <c r="L209" s="155"/>
      <c r="M209" s="40">
        <f t="shared" ref="M209:M210" si="80">SUM(C209:I209)</f>
        <v>0</v>
      </c>
    </row>
    <row r="210" spans="1:14" ht="16.5" hidden="1" customHeight="1" outlineLevel="2">
      <c r="B210" s="26" t="s">
        <v>483</v>
      </c>
      <c r="C210" s="40"/>
      <c r="D210" s="155"/>
      <c r="E210" s="40"/>
      <c r="F210" s="155"/>
      <c r="G210" s="40"/>
      <c r="H210" s="155"/>
      <c r="I210" s="27"/>
      <c r="J210" s="155"/>
      <c r="K210" s="27"/>
      <c r="L210" s="155"/>
      <c r="M210" s="40">
        <f t="shared" si="80"/>
        <v>0</v>
      </c>
    </row>
    <row r="211" spans="1:14" ht="16.5" hidden="1" customHeight="1" outlineLevel="2">
      <c r="B211" s="356" t="s">
        <v>490</v>
      </c>
      <c r="C211" s="355">
        <f>SUM(C208:C210)</f>
        <v>0</v>
      </c>
      <c r="D211" s="355"/>
      <c r="E211" s="355">
        <f>SUM(E208:E210)</f>
        <v>0</v>
      </c>
      <c r="F211" s="355"/>
      <c r="G211" s="355">
        <f>SUM(G208:G210)</f>
        <v>0</v>
      </c>
      <c r="H211" s="355"/>
      <c r="I211" s="355">
        <f>SUM(I208:I210)</f>
        <v>0</v>
      </c>
      <c r="J211" s="355"/>
      <c r="K211" s="355">
        <f>SUM(K208:K210)</f>
        <v>0</v>
      </c>
      <c r="L211" s="355"/>
      <c r="M211" s="355">
        <f>SUM(M208:M210)</f>
        <v>0</v>
      </c>
    </row>
    <row r="212" spans="1:14" ht="9" hidden="1" customHeight="1" outlineLevel="1"/>
    <row r="213" spans="1:14" s="25" customFormat="1" ht="11.25" hidden="1" outlineLevel="2">
      <c r="B213" s="28" t="s">
        <v>491</v>
      </c>
      <c r="C213" s="29" t="s">
        <v>322</v>
      </c>
      <c r="D213" s="29" t="s">
        <v>294</v>
      </c>
      <c r="E213" s="29" t="s">
        <v>323</v>
      </c>
      <c r="F213" s="29" t="s">
        <v>294</v>
      </c>
      <c r="G213" s="29" t="s">
        <v>325</v>
      </c>
      <c r="H213" s="29" t="s">
        <v>294</v>
      </c>
      <c r="I213" s="29" t="s">
        <v>324</v>
      </c>
      <c r="J213" s="29" t="s">
        <v>294</v>
      </c>
      <c r="K213" s="29" t="s">
        <v>326</v>
      </c>
      <c r="L213" s="29" t="s">
        <v>294</v>
      </c>
      <c r="M213" s="29" t="s">
        <v>486</v>
      </c>
    </row>
    <row r="214" spans="1:14" ht="16.5" hidden="1" customHeight="1" outlineLevel="2">
      <c r="B214" s="26" t="s">
        <v>487</v>
      </c>
      <c r="C214" s="40"/>
      <c r="D214" s="155"/>
      <c r="E214" s="40"/>
      <c r="F214" s="155"/>
      <c r="G214" s="40"/>
      <c r="H214" s="155"/>
      <c r="I214" s="27"/>
      <c r="J214" s="155"/>
      <c r="K214" s="27"/>
      <c r="L214" s="155"/>
      <c r="M214" s="40">
        <f>SUM(C214:I214)</f>
        <v>0</v>
      </c>
    </row>
    <row r="215" spans="1:14" ht="16.5" hidden="1" customHeight="1" outlineLevel="2">
      <c r="B215" s="26" t="s">
        <v>482</v>
      </c>
      <c r="C215" s="40"/>
      <c r="D215" s="155"/>
      <c r="E215" s="40"/>
      <c r="F215" s="155"/>
      <c r="G215" s="40"/>
      <c r="H215" s="155"/>
      <c r="I215" s="27"/>
      <c r="J215" s="155"/>
      <c r="K215" s="27"/>
      <c r="L215" s="155"/>
      <c r="M215" s="40">
        <f t="shared" ref="M215:M216" si="81">SUM(C215:I215)</f>
        <v>0</v>
      </c>
    </row>
    <row r="216" spans="1:14" ht="16.5" hidden="1" customHeight="1" outlineLevel="2">
      <c r="B216" s="26" t="s">
        <v>483</v>
      </c>
      <c r="C216" s="40"/>
      <c r="D216" s="155"/>
      <c r="E216" s="40"/>
      <c r="F216" s="155"/>
      <c r="G216" s="40"/>
      <c r="H216" s="155"/>
      <c r="I216" s="27"/>
      <c r="J216" s="155"/>
      <c r="K216" s="27"/>
      <c r="L216" s="155"/>
      <c r="M216" s="40">
        <f t="shared" si="81"/>
        <v>0</v>
      </c>
    </row>
    <row r="217" spans="1:14" ht="16.5" hidden="1" customHeight="1" outlineLevel="2">
      <c r="B217" s="356" t="s">
        <v>492</v>
      </c>
      <c r="C217" s="355">
        <f>SUM(C214:C216)</f>
        <v>0</v>
      </c>
      <c r="D217" s="355"/>
      <c r="E217" s="355">
        <f>SUM(E214:E216)</f>
        <v>0</v>
      </c>
      <c r="F217" s="355"/>
      <c r="G217" s="355">
        <f>SUM(G214:G216)</f>
        <v>0</v>
      </c>
      <c r="H217" s="355"/>
      <c r="I217" s="355">
        <f>SUM(I214:I216)</f>
        <v>0</v>
      </c>
      <c r="J217" s="355"/>
      <c r="K217" s="355">
        <f>SUM(K214:K216)</f>
        <v>0</v>
      </c>
      <c r="L217" s="355"/>
      <c r="M217" s="355">
        <f>SUM(M214:M216)</f>
        <v>0</v>
      </c>
    </row>
    <row r="218" spans="1:14" ht="9" hidden="1" customHeight="1" outlineLevel="1"/>
    <row r="219" spans="1:14" ht="7.5" customHeight="1" outlineLevel="1">
      <c r="A219" s="31"/>
      <c r="B219" s="31"/>
      <c r="C219" s="31"/>
      <c r="D219" s="31"/>
      <c r="E219" s="31"/>
      <c r="F219" s="31"/>
      <c r="G219" s="32"/>
      <c r="H219" s="32"/>
      <c r="I219" s="33"/>
      <c r="J219" s="33"/>
      <c r="K219" s="33"/>
      <c r="L219" s="33"/>
      <c r="M219" s="31"/>
      <c r="N219" s="31"/>
    </row>
    <row r="220" spans="1:14" ht="9.75" customHeight="1"/>
    <row r="221" spans="1:14" hidden="1" outlineLevel="1">
      <c r="A221" s="13" t="s">
        <v>493</v>
      </c>
      <c r="E221" s="98"/>
      <c r="F221" s="4"/>
    </row>
    <row r="222" spans="1:14" ht="8.25" hidden="1" customHeight="1" outlineLevel="2"/>
    <row r="223" spans="1:14" s="25" customFormat="1" ht="11.25" hidden="1" outlineLevel="2">
      <c r="B223" s="28" t="s">
        <v>494</v>
      </c>
      <c r="C223" s="29" t="s">
        <v>322</v>
      </c>
      <c r="D223" s="29" t="s">
        <v>294</v>
      </c>
      <c r="E223" s="29" t="s">
        <v>323</v>
      </c>
      <c r="F223" s="29" t="s">
        <v>294</v>
      </c>
      <c r="G223" s="29" t="s">
        <v>325</v>
      </c>
      <c r="H223" s="29" t="s">
        <v>294</v>
      </c>
      <c r="I223" s="29" t="s">
        <v>324</v>
      </c>
      <c r="J223" s="29" t="s">
        <v>294</v>
      </c>
      <c r="K223" s="29" t="s">
        <v>326</v>
      </c>
      <c r="L223" s="29" t="s">
        <v>294</v>
      </c>
      <c r="M223" s="29" t="s">
        <v>486</v>
      </c>
    </row>
    <row r="224" spans="1:14" ht="16.5" hidden="1" customHeight="1" outlineLevel="2">
      <c r="B224" s="26" t="s">
        <v>487</v>
      </c>
      <c r="C224" s="40"/>
      <c r="D224" s="155"/>
      <c r="E224" s="40"/>
      <c r="F224" s="155"/>
      <c r="G224" s="40"/>
      <c r="H224" s="155"/>
      <c r="I224" s="27"/>
      <c r="J224" s="155"/>
      <c r="K224" s="27"/>
      <c r="L224" s="155"/>
      <c r="M224" s="40">
        <f>SUM(C224:I224)</f>
        <v>0</v>
      </c>
    </row>
    <row r="225" spans="2:13" ht="16.5" hidden="1" customHeight="1" outlineLevel="2">
      <c r="B225" s="26" t="s">
        <v>482</v>
      </c>
      <c r="C225" s="40"/>
      <c r="D225" s="155"/>
      <c r="E225" s="40"/>
      <c r="F225" s="155"/>
      <c r="G225" s="40"/>
      <c r="H225" s="155"/>
      <c r="I225" s="27"/>
      <c r="J225" s="155"/>
      <c r="K225" s="27"/>
      <c r="L225" s="155"/>
      <c r="M225" s="40">
        <f t="shared" ref="M225:M226" si="82">SUM(C225:I225)</f>
        <v>0</v>
      </c>
    </row>
    <row r="226" spans="2:13" ht="16.5" hidden="1" customHeight="1" outlineLevel="2">
      <c r="B226" s="26" t="s">
        <v>483</v>
      </c>
      <c r="C226" s="40"/>
      <c r="D226" s="155"/>
      <c r="E226" s="40"/>
      <c r="F226" s="155"/>
      <c r="G226" s="40"/>
      <c r="H226" s="155"/>
      <c r="I226" s="27"/>
      <c r="J226" s="155"/>
      <c r="K226" s="27"/>
      <c r="L226" s="155"/>
      <c r="M226" s="40">
        <f t="shared" si="82"/>
        <v>0</v>
      </c>
    </row>
    <row r="227" spans="2:13" ht="16.5" hidden="1" customHeight="1" outlineLevel="2">
      <c r="B227" s="356" t="s">
        <v>495</v>
      </c>
      <c r="C227" s="355">
        <f>SUM(C224:C226)</f>
        <v>0</v>
      </c>
      <c r="D227" s="355"/>
      <c r="E227" s="355">
        <f>SUM(E224:E226)</f>
        <v>0</v>
      </c>
      <c r="F227" s="355"/>
      <c r="G227" s="355">
        <f>SUM(G224:G226)</f>
        <v>0</v>
      </c>
      <c r="H227" s="355"/>
      <c r="I227" s="355">
        <f>SUM(I224:I226)</f>
        <v>0</v>
      </c>
      <c r="J227" s="355"/>
      <c r="K227" s="355">
        <f>SUM(K224:K226)</f>
        <v>0</v>
      </c>
      <c r="L227" s="355"/>
      <c r="M227" s="355">
        <f>SUM(M224:M226)</f>
        <v>0</v>
      </c>
    </row>
    <row r="228" spans="2:13" ht="9" hidden="1" customHeight="1" outlineLevel="1"/>
    <row r="229" spans="2:13" s="25" customFormat="1" ht="11.25" hidden="1" outlineLevel="2">
      <c r="B229" s="28" t="s">
        <v>496</v>
      </c>
      <c r="C229" s="29" t="s">
        <v>322</v>
      </c>
      <c r="D229" s="29" t="s">
        <v>294</v>
      </c>
      <c r="E229" s="29" t="s">
        <v>323</v>
      </c>
      <c r="F229" s="29" t="s">
        <v>294</v>
      </c>
      <c r="G229" s="29" t="s">
        <v>325</v>
      </c>
      <c r="H229" s="29" t="s">
        <v>294</v>
      </c>
      <c r="I229" s="29" t="s">
        <v>324</v>
      </c>
      <c r="J229" s="29" t="s">
        <v>294</v>
      </c>
      <c r="K229" s="29" t="s">
        <v>326</v>
      </c>
      <c r="L229" s="29" t="s">
        <v>294</v>
      </c>
      <c r="M229" s="29" t="s">
        <v>486</v>
      </c>
    </row>
    <row r="230" spans="2:13" ht="16.5" hidden="1" customHeight="1" outlineLevel="2">
      <c r="B230" s="26" t="s">
        <v>487</v>
      </c>
      <c r="C230" s="40"/>
      <c r="D230" s="155"/>
      <c r="E230" s="40"/>
      <c r="F230" s="155"/>
      <c r="G230" s="40"/>
      <c r="H230" s="155"/>
      <c r="I230" s="27"/>
      <c r="J230" s="155"/>
      <c r="K230" s="27"/>
      <c r="L230" s="155"/>
      <c r="M230" s="40">
        <f>SUM(C230:I230)</f>
        <v>0</v>
      </c>
    </row>
    <row r="231" spans="2:13" ht="16.5" hidden="1" customHeight="1" outlineLevel="2">
      <c r="B231" s="26" t="s">
        <v>482</v>
      </c>
      <c r="C231" s="40"/>
      <c r="D231" s="155"/>
      <c r="E231" s="40"/>
      <c r="F231" s="155"/>
      <c r="G231" s="40"/>
      <c r="H231" s="155"/>
      <c r="I231" s="27"/>
      <c r="J231" s="155"/>
      <c r="K231" s="27"/>
      <c r="L231" s="155"/>
      <c r="M231" s="40">
        <f t="shared" ref="M231:M232" si="83">SUM(C231:I231)</f>
        <v>0</v>
      </c>
    </row>
    <row r="232" spans="2:13" ht="16.5" hidden="1" customHeight="1" outlineLevel="2">
      <c r="B232" s="26" t="s">
        <v>483</v>
      </c>
      <c r="C232" s="40"/>
      <c r="D232" s="155"/>
      <c r="E232" s="40"/>
      <c r="F232" s="155"/>
      <c r="G232" s="40"/>
      <c r="H232" s="155"/>
      <c r="I232" s="27"/>
      <c r="J232" s="155"/>
      <c r="K232" s="27"/>
      <c r="L232" s="155"/>
      <c r="M232" s="40">
        <f t="shared" si="83"/>
        <v>0</v>
      </c>
    </row>
    <row r="233" spans="2:13" ht="16.5" hidden="1" customHeight="1" outlineLevel="2">
      <c r="B233" s="356" t="s">
        <v>497</v>
      </c>
      <c r="C233" s="355">
        <f>SUM(C230:C232)</f>
        <v>0</v>
      </c>
      <c r="D233" s="355"/>
      <c r="E233" s="355">
        <f>SUM(E230:E232)</f>
        <v>0</v>
      </c>
      <c r="F233" s="355"/>
      <c r="G233" s="355">
        <f>SUM(G230:G232)</f>
        <v>0</v>
      </c>
      <c r="H233" s="355"/>
      <c r="I233" s="355">
        <f>SUM(I230:I232)</f>
        <v>0</v>
      </c>
      <c r="J233" s="355"/>
      <c r="K233" s="355">
        <f>SUM(K230:K232)</f>
        <v>0</v>
      </c>
      <c r="L233" s="355"/>
      <c r="M233" s="355">
        <f>SUM(M230:M232)</f>
        <v>0</v>
      </c>
    </row>
    <row r="234" spans="2:13" ht="9" hidden="1" customHeight="1" outlineLevel="1"/>
    <row r="235" spans="2:13" s="25" customFormat="1" ht="11.25" hidden="1" outlineLevel="2">
      <c r="B235" s="28" t="s">
        <v>498</v>
      </c>
      <c r="C235" s="29" t="s">
        <v>322</v>
      </c>
      <c r="D235" s="29" t="s">
        <v>294</v>
      </c>
      <c r="E235" s="29" t="s">
        <v>323</v>
      </c>
      <c r="F235" s="29" t="s">
        <v>294</v>
      </c>
      <c r="G235" s="29" t="s">
        <v>325</v>
      </c>
      <c r="H235" s="29" t="s">
        <v>294</v>
      </c>
      <c r="I235" s="29" t="s">
        <v>324</v>
      </c>
      <c r="J235" s="29" t="s">
        <v>294</v>
      </c>
      <c r="K235" s="29" t="s">
        <v>326</v>
      </c>
      <c r="L235" s="29" t="s">
        <v>294</v>
      </c>
      <c r="M235" s="29" t="s">
        <v>486</v>
      </c>
    </row>
    <row r="236" spans="2:13" ht="16.5" hidden="1" customHeight="1" outlineLevel="2">
      <c r="B236" s="26" t="s">
        <v>487</v>
      </c>
      <c r="C236" s="40"/>
      <c r="D236" s="155"/>
      <c r="E236" s="40"/>
      <c r="F236" s="155"/>
      <c r="G236" s="40"/>
      <c r="H236" s="155"/>
      <c r="I236" s="27"/>
      <c r="J236" s="155"/>
      <c r="K236" s="27"/>
      <c r="L236" s="155"/>
      <c r="M236" s="40">
        <f>SUM(C236:I236)</f>
        <v>0</v>
      </c>
    </row>
    <row r="237" spans="2:13" ht="16.5" hidden="1" customHeight="1" outlineLevel="2">
      <c r="B237" s="26" t="s">
        <v>482</v>
      </c>
      <c r="C237" s="40"/>
      <c r="D237" s="155"/>
      <c r="E237" s="40"/>
      <c r="F237" s="155"/>
      <c r="G237" s="40"/>
      <c r="H237" s="155"/>
      <c r="I237" s="27"/>
      <c r="J237" s="155"/>
      <c r="K237" s="27"/>
      <c r="L237" s="155"/>
      <c r="M237" s="40">
        <f t="shared" ref="M237:M238" si="84">SUM(C237:I237)</f>
        <v>0</v>
      </c>
    </row>
    <row r="238" spans="2:13" ht="16.5" hidden="1" customHeight="1" outlineLevel="2">
      <c r="B238" s="26" t="s">
        <v>483</v>
      </c>
      <c r="C238" s="40"/>
      <c r="D238" s="155"/>
      <c r="E238" s="40"/>
      <c r="F238" s="155"/>
      <c r="G238" s="40"/>
      <c r="H238" s="155"/>
      <c r="I238" s="27"/>
      <c r="J238" s="155"/>
      <c r="K238" s="27"/>
      <c r="L238" s="155"/>
      <c r="M238" s="40">
        <f t="shared" si="84"/>
        <v>0</v>
      </c>
    </row>
    <row r="239" spans="2:13" ht="16.5" hidden="1" customHeight="1" outlineLevel="2">
      <c r="B239" s="356" t="s">
        <v>499</v>
      </c>
      <c r="C239" s="355">
        <f>SUM(C236:C238)</f>
        <v>0</v>
      </c>
      <c r="D239" s="355"/>
      <c r="E239" s="355">
        <f>SUM(E236:E238)</f>
        <v>0</v>
      </c>
      <c r="F239" s="355"/>
      <c r="G239" s="355">
        <f>SUM(G236:G238)</f>
        <v>0</v>
      </c>
      <c r="H239" s="355"/>
      <c r="I239" s="355">
        <f>SUM(I236:I238)</f>
        <v>0</v>
      </c>
      <c r="J239" s="355"/>
      <c r="K239" s="355">
        <f>SUM(K236:K238)</f>
        <v>0</v>
      </c>
      <c r="L239" s="355"/>
      <c r="M239" s="355">
        <f>SUM(M236:M238)</f>
        <v>0</v>
      </c>
    </row>
    <row r="240" spans="2:13" ht="9" hidden="1" customHeight="1" outlineLevel="1"/>
    <row r="241" spans="1:15" s="25" customFormat="1" ht="11.25" hidden="1" outlineLevel="2">
      <c r="B241" s="28" t="s">
        <v>500</v>
      </c>
      <c r="C241" s="29" t="s">
        <v>322</v>
      </c>
      <c r="D241" s="29" t="s">
        <v>294</v>
      </c>
      <c r="E241" s="29" t="s">
        <v>323</v>
      </c>
      <c r="F241" s="29" t="s">
        <v>294</v>
      </c>
      <c r="G241" s="29" t="s">
        <v>325</v>
      </c>
      <c r="H241" s="29" t="s">
        <v>294</v>
      </c>
      <c r="I241" s="29" t="s">
        <v>324</v>
      </c>
      <c r="J241" s="29" t="s">
        <v>294</v>
      </c>
      <c r="K241" s="29" t="s">
        <v>326</v>
      </c>
      <c r="L241" s="29" t="s">
        <v>294</v>
      </c>
      <c r="M241" s="29" t="s">
        <v>486</v>
      </c>
    </row>
    <row r="242" spans="1:15" ht="16.5" hidden="1" customHeight="1" outlineLevel="2">
      <c r="B242" s="26" t="s">
        <v>487</v>
      </c>
      <c r="C242" s="40"/>
      <c r="D242" s="155"/>
      <c r="E242" s="40"/>
      <c r="F242" s="155"/>
      <c r="G242" s="40"/>
      <c r="H242" s="155"/>
      <c r="I242" s="27"/>
      <c r="J242" s="155"/>
      <c r="K242" s="27"/>
      <c r="L242" s="155"/>
      <c r="M242" s="40">
        <f>SUM(C242:I242)</f>
        <v>0</v>
      </c>
    </row>
    <row r="243" spans="1:15" ht="16.5" hidden="1" customHeight="1" outlineLevel="2">
      <c r="B243" s="26" t="s">
        <v>482</v>
      </c>
      <c r="C243" s="40"/>
      <c r="D243" s="155"/>
      <c r="E243" s="40"/>
      <c r="F243" s="155"/>
      <c r="G243" s="40"/>
      <c r="H243" s="155"/>
      <c r="I243" s="27"/>
      <c r="J243" s="155"/>
      <c r="K243" s="27"/>
      <c r="L243" s="155"/>
      <c r="M243" s="40">
        <f t="shared" ref="M243:M244" si="85">SUM(C243:I243)</f>
        <v>0</v>
      </c>
    </row>
    <row r="244" spans="1:15" ht="16.5" hidden="1" customHeight="1" outlineLevel="2">
      <c r="B244" s="26" t="s">
        <v>483</v>
      </c>
      <c r="C244" s="40"/>
      <c r="D244" s="155"/>
      <c r="E244" s="40"/>
      <c r="F244" s="155"/>
      <c r="G244" s="40"/>
      <c r="H244" s="155"/>
      <c r="I244" s="27"/>
      <c r="J244" s="155"/>
      <c r="K244" s="27"/>
      <c r="L244" s="155"/>
      <c r="M244" s="40">
        <f t="shared" si="85"/>
        <v>0</v>
      </c>
    </row>
    <row r="245" spans="1:15" ht="16.5" hidden="1" customHeight="1" outlineLevel="2">
      <c r="B245" s="356" t="s">
        <v>501</v>
      </c>
      <c r="C245" s="355">
        <f>SUM(C242:C244)</f>
        <v>0</v>
      </c>
      <c r="D245" s="355"/>
      <c r="E245" s="355">
        <f>SUM(E242:E244)</f>
        <v>0</v>
      </c>
      <c r="F245" s="355"/>
      <c r="G245" s="355">
        <f>SUM(G242:G244)</f>
        <v>0</v>
      </c>
      <c r="H245" s="355"/>
      <c r="I245" s="355">
        <f>SUM(I242:I244)</f>
        <v>0</v>
      </c>
      <c r="J245" s="355"/>
      <c r="K245" s="355">
        <f>SUM(K242:K244)</f>
        <v>0</v>
      </c>
      <c r="L245" s="355"/>
      <c r="M245" s="355">
        <f>SUM(M242:M244)</f>
        <v>0</v>
      </c>
    </row>
    <row r="246" spans="1:15" ht="9" hidden="1" customHeight="1" outlineLevel="1"/>
    <row r="247" spans="1:15" ht="7.5" hidden="1" customHeight="1" outlineLevel="1">
      <c r="A247" s="31"/>
      <c r="B247" s="31"/>
      <c r="C247" s="31"/>
      <c r="D247" s="31"/>
      <c r="E247" s="31"/>
      <c r="F247" s="31"/>
      <c r="G247" s="32"/>
      <c r="H247" s="32"/>
      <c r="I247" s="33"/>
      <c r="J247" s="33"/>
      <c r="K247" s="33"/>
      <c r="L247" s="33"/>
      <c r="M247" s="31"/>
      <c r="N247" s="31"/>
    </row>
    <row r="248" spans="1:15" ht="9.75" customHeight="1" collapsed="1"/>
    <row r="249" spans="1:15" ht="18" outlineLevel="1">
      <c r="A249" s="13" t="s">
        <v>502</v>
      </c>
      <c r="C249" s="3"/>
      <c r="D249" s="3"/>
      <c r="G249"/>
    </row>
    <row r="250" spans="1:15" ht="8.25" customHeight="1" outlineLevel="1"/>
    <row r="251" spans="1:15" s="25" customFormat="1" ht="11.25" outlineLevel="1">
      <c r="B251" s="28"/>
      <c r="C251" s="29" t="s">
        <v>293</v>
      </c>
      <c r="D251" s="29" t="s">
        <v>294</v>
      </c>
      <c r="E251" s="29" t="s">
        <v>377</v>
      </c>
      <c r="F251" s="29" t="s">
        <v>294</v>
      </c>
      <c r="G251" s="29" t="s">
        <v>269</v>
      </c>
      <c r="H251" s="29" t="s">
        <v>294</v>
      </c>
      <c r="I251" s="29" t="s">
        <v>265</v>
      </c>
      <c r="J251" s="29" t="s">
        <v>294</v>
      </c>
      <c r="K251" s="29" t="s">
        <v>295</v>
      </c>
      <c r="L251" s="29" t="s">
        <v>294</v>
      </c>
      <c r="M251" s="29" t="s">
        <v>296</v>
      </c>
    </row>
    <row r="252" spans="1:15" ht="16.5" customHeight="1" outlineLevel="1">
      <c r="B252" s="26" t="s">
        <v>503</v>
      </c>
      <c r="C252" s="40">
        <v>0</v>
      </c>
      <c r="D252" s="155" t="e">
        <f>+C252/M252</f>
        <v>#DIV/0!</v>
      </c>
      <c r="E252" s="40"/>
      <c r="F252" s="155" t="e">
        <f>+E252/M252</f>
        <v>#DIV/0!</v>
      </c>
      <c r="G252" s="40"/>
      <c r="H252" s="155" t="e">
        <f>+G252/M252</f>
        <v>#DIV/0!</v>
      </c>
      <c r="I252" s="40"/>
      <c r="J252" s="155" t="e">
        <f>+I252/M252</f>
        <v>#DIV/0!</v>
      </c>
      <c r="K252" s="27"/>
      <c r="L252" s="155"/>
      <c r="M252" s="42">
        <f t="shared" ref="M252" si="86">+C252+E252+G252+I252+K252</f>
        <v>0</v>
      </c>
      <c r="N252" s="140"/>
      <c r="O252" s="286"/>
    </row>
    <row r="253" spans="1:15" ht="16.5" hidden="1" customHeight="1" outlineLevel="1">
      <c r="B253" s="26" t="s">
        <v>504</v>
      </c>
      <c r="C253" s="40"/>
      <c r="D253" s="155"/>
      <c r="E253" s="40"/>
      <c r="F253" s="155"/>
      <c r="G253" s="40"/>
      <c r="H253" s="155"/>
      <c r="I253" s="27"/>
      <c r="J253" s="155"/>
      <c r="K253" s="27"/>
      <c r="L253" s="155"/>
      <c r="M253" s="40">
        <f t="shared" ref="M253:M256" si="87">SUM(C253:I253)</f>
        <v>0</v>
      </c>
    </row>
    <row r="254" spans="1:15" ht="16.5" hidden="1" customHeight="1" outlineLevel="1">
      <c r="B254" s="26" t="s">
        <v>505</v>
      </c>
      <c r="C254" s="40"/>
      <c r="D254" s="155"/>
      <c r="E254" s="40"/>
      <c r="F254" s="155"/>
      <c r="G254" s="40"/>
      <c r="H254" s="155"/>
      <c r="I254" s="27"/>
      <c r="J254" s="155"/>
      <c r="K254" s="27"/>
      <c r="L254" s="155"/>
      <c r="M254" s="40">
        <f t="shared" si="87"/>
        <v>0</v>
      </c>
    </row>
    <row r="255" spans="1:15" ht="16.5" hidden="1" customHeight="1" outlineLevel="1">
      <c r="B255" s="26" t="s">
        <v>506</v>
      </c>
      <c r="C255" s="40"/>
      <c r="D255" s="155"/>
      <c r="E255" s="40"/>
      <c r="F255" s="155"/>
      <c r="G255" s="40"/>
      <c r="H255" s="155"/>
      <c r="I255" s="27"/>
      <c r="J255" s="155"/>
      <c r="K255" s="27"/>
      <c r="L255" s="155"/>
      <c r="M255" s="40">
        <f t="shared" si="87"/>
        <v>0</v>
      </c>
    </row>
    <row r="256" spans="1:15" ht="16.5" hidden="1" customHeight="1" outlineLevel="1">
      <c r="B256" s="26" t="s">
        <v>507</v>
      </c>
      <c r="C256" s="40"/>
      <c r="D256" s="155"/>
      <c r="E256" s="40"/>
      <c r="F256" s="155"/>
      <c r="G256" s="40"/>
      <c r="H256" s="155"/>
      <c r="I256" s="27"/>
      <c r="J256" s="155"/>
      <c r="K256" s="27"/>
      <c r="L256" s="155"/>
      <c r="M256" s="40">
        <f t="shared" si="87"/>
        <v>0</v>
      </c>
    </row>
    <row r="257" spans="1:14" ht="16.5" customHeight="1" outlineLevel="1">
      <c r="B257" s="354" t="s">
        <v>508</v>
      </c>
      <c r="C257" s="355">
        <f>SUM(C252:C256)</f>
        <v>0</v>
      </c>
      <c r="D257" s="355"/>
      <c r="E257" s="355">
        <f>SUM(E252:E256)</f>
        <v>0</v>
      </c>
      <c r="F257" s="355"/>
      <c r="G257" s="355">
        <f>SUM(G252:G256)</f>
        <v>0</v>
      </c>
      <c r="H257" s="355"/>
      <c r="I257" s="355">
        <f>SUM(I252:I256)</f>
        <v>0</v>
      </c>
      <c r="J257" s="355"/>
      <c r="K257" s="355">
        <f>SUM(K252:K256)</f>
        <v>0</v>
      </c>
      <c r="L257" s="355"/>
      <c r="M257" s="355">
        <f>SUM(M252:M256)</f>
        <v>0</v>
      </c>
      <c r="N257" s="25"/>
    </row>
    <row r="258" spans="1:14" ht="9" customHeight="1" outlineLevel="1"/>
    <row r="259" spans="1:14" ht="7.5" customHeight="1" outlineLevel="1">
      <c r="A259" s="31"/>
      <c r="B259" s="31"/>
      <c r="C259" s="31"/>
      <c r="D259" s="31"/>
      <c r="E259" s="31"/>
      <c r="F259" s="31"/>
      <c r="G259" s="32"/>
      <c r="H259" s="32"/>
      <c r="I259" s="33"/>
      <c r="J259" s="33"/>
      <c r="K259" s="33"/>
      <c r="L259" s="33"/>
      <c r="M259" s="31"/>
      <c r="N259" s="31"/>
    </row>
    <row r="260" spans="1:14" ht="9.75" customHeight="1"/>
    <row r="261" spans="1:14" ht="18" hidden="1" outlineLevel="1">
      <c r="A261" s="13" t="s">
        <v>509</v>
      </c>
      <c r="C261" s="3"/>
      <c r="D261" s="3"/>
      <c r="E261" s="98"/>
    </row>
    <row r="262" spans="1:14" ht="8.25" hidden="1" customHeight="1" outlineLevel="1"/>
    <row r="263" spans="1:14" s="25" customFormat="1" ht="11.25" hidden="1" outlineLevel="1">
      <c r="B263" s="28"/>
      <c r="C263" s="29" t="s">
        <v>322</v>
      </c>
      <c r="D263" s="29" t="s">
        <v>294</v>
      </c>
      <c r="E263" s="29" t="s">
        <v>323</v>
      </c>
      <c r="F263" s="29" t="s">
        <v>294</v>
      </c>
      <c r="G263" s="29" t="s">
        <v>325</v>
      </c>
      <c r="H263" s="29" t="s">
        <v>294</v>
      </c>
      <c r="I263" s="29" t="s">
        <v>324</v>
      </c>
      <c r="J263" s="29" t="s">
        <v>294</v>
      </c>
      <c r="K263" s="29" t="s">
        <v>326</v>
      </c>
      <c r="L263" s="29" t="s">
        <v>294</v>
      </c>
      <c r="M263" s="29" t="s">
        <v>296</v>
      </c>
    </row>
    <row r="264" spans="1:14" ht="16.5" hidden="1" customHeight="1" outlineLevel="1">
      <c r="B264" s="26" t="s">
        <v>510</v>
      </c>
      <c r="C264" s="40"/>
      <c r="D264" s="155"/>
      <c r="E264" s="40"/>
      <c r="F264" s="155"/>
      <c r="G264" s="40"/>
      <c r="H264" s="155"/>
      <c r="I264" s="27"/>
      <c r="J264" s="155"/>
      <c r="K264" s="27"/>
      <c r="L264" s="155"/>
      <c r="M264" s="40">
        <f>SUM(C264:I264)</f>
        <v>0</v>
      </c>
    </row>
    <row r="265" spans="1:14" ht="16.5" hidden="1" customHeight="1" outlineLevel="1">
      <c r="B265" s="26" t="s">
        <v>511</v>
      </c>
      <c r="C265" s="40"/>
      <c r="D265" s="155"/>
      <c r="E265" s="40"/>
      <c r="F265" s="155"/>
      <c r="G265" s="40"/>
      <c r="H265" s="155"/>
      <c r="I265" s="27"/>
      <c r="J265" s="155"/>
      <c r="K265" s="27"/>
      <c r="L265" s="155"/>
      <c r="M265" s="40">
        <f t="shared" ref="M265:M268" si="88">SUM(C265:I265)</f>
        <v>0</v>
      </c>
    </row>
    <row r="266" spans="1:14" ht="16.5" hidden="1" customHeight="1" outlineLevel="1">
      <c r="B266" s="26" t="s">
        <v>512</v>
      </c>
      <c r="C266" s="40"/>
      <c r="D266" s="155"/>
      <c r="E266" s="40"/>
      <c r="F266" s="155"/>
      <c r="G266" s="40"/>
      <c r="H266" s="155"/>
      <c r="I266" s="27"/>
      <c r="J266" s="155"/>
      <c r="K266" s="27"/>
      <c r="L266" s="155"/>
      <c r="M266" s="40">
        <f t="shared" si="88"/>
        <v>0</v>
      </c>
    </row>
    <row r="267" spans="1:14" ht="16.5" hidden="1" customHeight="1" outlineLevel="1">
      <c r="B267" s="26" t="s">
        <v>513</v>
      </c>
      <c r="C267" s="40"/>
      <c r="D267" s="155"/>
      <c r="E267" s="40"/>
      <c r="F267" s="155"/>
      <c r="G267" s="40"/>
      <c r="H267" s="155"/>
      <c r="I267" s="27"/>
      <c r="J267" s="155"/>
      <c r="K267" s="27"/>
      <c r="L267" s="155"/>
      <c r="M267" s="40">
        <f t="shared" si="88"/>
        <v>0</v>
      </c>
    </row>
    <row r="268" spans="1:14" ht="16.5" hidden="1" customHeight="1" outlineLevel="1">
      <c r="B268" s="26" t="s">
        <v>514</v>
      </c>
      <c r="C268" s="40"/>
      <c r="D268" s="155"/>
      <c r="E268" s="40"/>
      <c r="F268" s="155"/>
      <c r="G268" s="40"/>
      <c r="H268" s="155"/>
      <c r="I268" s="27"/>
      <c r="J268" s="155"/>
      <c r="K268" s="27"/>
      <c r="L268" s="155"/>
      <c r="M268" s="40">
        <f t="shared" si="88"/>
        <v>0</v>
      </c>
    </row>
    <row r="269" spans="1:14" ht="16.5" hidden="1" customHeight="1" outlineLevel="1">
      <c r="B269" s="354" t="s">
        <v>515</v>
      </c>
      <c r="C269" s="355">
        <f>SUM(C264:C268)</f>
        <v>0</v>
      </c>
      <c r="D269" s="355"/>
      <c r="E269" s="355">
        <f>SUM(E264:E268)</f>
        <v>0</v>
      </c>
      <c r="F269" s="355"/>
      <c r="G269" s="355">
        <f>SUM(G264:G268)</f>
        <v>0</v>
      </c>
      <c r="H269" s="355"/>
      <c r="I269" s="355">
        <f>SUM(I264:I268)</f>
        <v>0</v>
      </c>
      <c r="J269" s="355"/>
      <c r="K269" s="355">
        <f>SUM(K264:K268)</f>
        <v>0</v>
      </c>
      <c r="L269" s="355"/>
      <c r="M269" s="355">
        <f>SUM(M264:M268)</f>
        <v>0</v>
      </c>
    </row>
    <row r="270" spans="1:14" ht="9" hidden="1" customHeight="1" outlineLevel="1"/>
    <row r="271" spans="1:14" ht="7.5" hidden="1" customHeight="1" outlineLevel="1">
      <c r="A271" s="31"/>
      <c r="B271" s="31"/>
      <c r="C271" s="31"/>
      <c r="D271" s="31"/>
      <c r="E271" s="31"/>
      <c r="F271" s="31"/>
      <c r="G271" s="32"/>
      <c r="H271" s="32"/>
      <c r="I271" s="33"/>
      <c r="J271" s="33"/>
      <c r="K271" s="33"/>
      <c r="L271" s="33"/>
      <c r="M271" s="31"/>
      <c r="N271" s="31"/>
    </row>
    <row r="272" spans="1:14" ht="9.75" customHeight="1" collapsed="1"/>
    <row r="273" spans="1:13" ht="18" hidden="1" outlineLevel="1">
      <c r="A273" s="13" t="s">
        <v>516</v>
      </c>
      <c r="C273" s="3"/>
      <c r="D273" s="3"/>
      <c r="E273" s="98"/>
    </row>
    <row r="274" spans="1:13" ht="8.25" hidden="1" customHeight="1" outlineLevel="2"/>
    <row r="275" spans="1:13" s="25" customFormat="1" ht="11.25" hidden="1" outlineLevel="2">
      <c r="B275" s="28" t="s">
        <v>517</v>
      </c>
      <c r="C275" s="29" t="s">
        <v>322</v>
      </c>
      <c r="D275" s="29" t="s">
        <v>294</v>
      </c>
      <c r="E275" s="29" t="s">
        <v>323</v>
      </c>
      <c r="F275" s="29" t="s">
        <v>294</v>
      </c>
      <c r="G275" s="29" t="s">
        <v>325</v>
      </c>
      <c r="H275" s="29" t="s">
        <v>294</v>
      </c>
      <c r="I275" s="29" t="s">
        <v>324</v>
      </c>
      <c r="J275" s="29" t="s">
        <v>294</v>
      </c>
      <c r="K275" s="29" t="s">
        <v>326</v>
      </c>
      <c r="L275" s="29" t="s">
        <v>294</v>
      </c>
      <c r="M275" s="29" t="s">
        <v>486</v>
      </c>
    </row>
    <row r="276" spans="1:13" ht="16.5" hidden="1" customHeight="1" outlineLevel="2">
      <c r="B276" s="26" t="s">
        <v>518</v>
      </c>
      <c r="C276" s="40"/>
      <c r="D276" s="155"/>
      <c r="E276" s="40"/>
      <c r="F276" s="155"/>
      <c r="G276" s="40"/>
      <c r="H276" s="155"/>
      <c r="I276" s="27"/>
      <c r="J276" s="155"/>
      <c r="K276" s="27"/>
      <c r="L276" s="155"/>
      <c r="M276" s="40">
        <f>SUM(C276:I276)</f>
        <v>0</v>
      </c>
    </row>
    <row r="277" spans="1:13" ht="16.5" hidden="1" customHeight="1" outlineLevel="2">
      <c r="B277" s="26" t="s">
        <v>519</v>
      </c>
      <c r="C277" s="40"/>
      <c r="D277" s="155"/>
      <c r="E277" s="40"/>
      <c r="F277" s="155"/>
      <c r="G277" s="40"/>
      <c r="H277" s="155"/>
      <c r="I277" s="27"/>
      <c r="J277" s="155"/>
      <c r="K277" s="27"/>
      <c r="L277" s="155"/>
      <c r="M277" s="40">
        <f t="shared" ref="M277:M278" si="89">SUM(C277:I277)</f>
        <v>0</v>
      </c>
    </row>
    <row r="278" spans="1:13" ht="16.5" hidden="1" customHeight="1" outlineLevel="2">
      <c r="B278" s="26" t="s">
        <v>520</v>
      </c>
      <c r="C278" s="40"/>
      <c r="D278" s="155"/>
      <c r="E278" s="40"/>
      <c r="F278" s="155"/>
      <c r="G278" s="40"/>
      <c r="H278" s="155"/>
      <c r="I278" s="27"/>
      <c r="J278" s="155"/>
      <c r="K278" s="27"/>
      <c r="L278" s="155"/>
      <c r="M278" s="40">
        <f t="shared" si="89"/>
        <v>0</v>
      </c>
    </row>
    <row r="279" spans="1:13" ht="16.5" hidden="1" customHeight="1" outlineLevel="2">
      <c r="B279" s="356" t="s">
        <v>521</v>
      </c>
      <c r="C279" s="355">
        <f>SUM(C276:C278)</f>
        <v>0</v>
      </c>
      <c r="D279" s="355"/>
      <c r="E279" s="355">
        <f>SUM(E276:E278)</f>
        <v>0</v>
      </c>
      <c r="F279" s="355"/>
      <c r="G279" s="355">
        <f>SUM(G276:G278)</f>
        <v>0</v>
      </c>
      <c r="H279" s="355"/>
      <c r="I279" s="355">
        <f>SUM(I276:I278)</f>
        <v>0</v>
      </c>
      <c r="J279" s="355"/>
      <c r="K279" s="355">
        <f>SUM(K276:K278)</f>
        <v>0</v>
      </c>
      <c r="L279" s="355"/>
      <c r="M279" s="355">
        <f>SUM(M276:M278)</f>
        <v>0</v>
      </c>
    </row>
    <row r="280" spans="1:13" ht="9" hidden="1" customHeight="1" outlineLevel="1"/>
    <row r="281" spans="1:13" s="25" customFormat="1" ht="11.25" hidden="1" outlineLevel="2">
      <c r="B281" s="28" t="s">
        <v>522</v>
      </c>
      <c r="C281" s="29" t="s">
        <v>322</v>
      </c>
      <c r="D281" s="29" t="s">
        <v>294</v>
      </c>
      <c r="E281" s="29" t="s">
        <v>323</v>
      </c>
      <c r="F281" s="29" t="s">
        <v>294</v>
      </c>
      <c r="G281" s="29" t="s">
        <v>325</v>
      </c>
      <c r="H281" s="29" t="s">
        <v>294</v>
      </c>
      <c r="I281" s="29" t="s">
        <v>324</v>
      </c>
      <c r="J281" s="29" t="s">
        <v>294</v>
      </c>
      <c r="K281" s="29" t="s">
        <v>326</v>
      </c>
      <c r="L281" s="29" t="s">
        <v>294</v>
      </c>
      <c r="M281" s="29" t="s">
        <v>486</v>
      </c>
    </row>
    <row r="282" spans="1:13" ht="16.5" hidden="1" customHeight="1" outlineLevel="2">
      <c r="B282" s="26" t="s">
        <v>353</v>
      </c>
      <c r="C282" s="40"/>
      <c r="D282" s="155"/>
      <c r="E282" s="40"/>
      <c r="F282" s="155"/>
      <c r="G282" s="40"/>
      <c r="H282" s="155"/>
      <c r="I282" s="27"/>
      <c r="J282" s="155"/>
      <c r="K282" s="27"/>
      <c r="L282" s="155"/>
      <c r="M282" s="40">
        <f>SUM(C282:I282)</f>
        <v>0</v>
      </c>
    </row>
    <row r="283" spans="1:13" ht="16.5" hidden="1" customHeight="1" outlineLevel="2">
      <c r="B283" s="26" t="s">
        <v>354</v>
      </c>
      <c r="C283" s="40"/>
      <c r="D283" s="155"/>
      <c r="E283" s="40"/>
      <c r="F283" s="155"/>
      <c r="G283" s="40"/>
      <c r="H283" s="155"/>
      <c r="I283" s="27"/>
      <c r="J283" s="155"/>
      <c r="K283" s="27"/>
      <c r="L283" s="155"/>
      <c r="M283" s="40">
        <f t="shared" ref="M283:M284" si="90">SUM(C283:I283)</f>
        <v>0</v>
      </c>
    </row>
    <row r="284" spans="1:13" ht="16.5" hidden="1" customHeight="1" outlineLevel="2">
      <c r="B284" s="26" t="s">
        <v>355</v>
      </c>
      <c r="C284" s="40"/>
      <c r="D284" s="155"/>
      <c r="E284" s="40"/>
      <c r="F284" s="155"/>
      <c r="G284" s="40"/>
      <c r="H284" s="155"/>
      <c r="I284" s="27"/>
      <c r="J284" s="155"/>
      <c r="K284" s="27"/>
      <c r="L284" s="155"/>
      <c r="M284" s="40">
        <f t="shared" si="90"/>
        <v>0</v>
      </c>
    </row>
    <row r="285" spans="1:13" ht="16.5" hidden="1" customHeight="1" outlineLevel="2">
      <c r="B285" s="356" t="s">
        <v>523</v>
      </c>
      <c r="C285" s="355">
        <f>SUM(C282:C284)</f>
        <v>0</v>
      </c>
      <c r="D285" s="355"/>
      <c r="E285" s="355">
        <f>SUM(E282:E284)</f>
        <v>0</v>
      </c>
      <c r="F285" s="355"/>
      <c r="G285" s="355">
        <f>SUM(G282:G284)</f>
        <v>0</v>
      </c>
      <c r="H285" s="355"/>
      <c r="I285" s="355">
        <f>SUM(I282:I284)</f>
        <v>0</v>
      </c>
      <c r="J285" s="355"/>
      <c r="K285" s="355">
        <f>SUM(K282:K284)</f>
        <v>0</v>
      </c>
      <c r="L285" s="355"/>
      <c r="M285" s="355">
        <f>SUM(M282:M284)</f>
        <v>0</v>
      </c>
    </row>
    <row r="286" spans="1:13" ht="9" hidden="1" customHeight="1" outlineLevel="1"/>
    <row r="287" spans="1:13" s="25" customFormat="1" ht="11.25" hidden="1" outlineLevel="2">
      <c r="B287" s="28" t="s">
        <v>524</v>
      </c>
      <c r="C287" s="29" t="s">
        <v>322</v>
      </c>
      <c r="D287" s="29" t="s">
        <v>294</v>
      </c>
      <c r="E287" s="29" t="s">
        <v>323</v>
      </c>
      <c r="F287" s="29" t="s">
        <v>294</v>
      </c>
      <c r="G287" s="29" t="s">
        <v>325</v>
      </c>
      <c r="H287" s="29" t="s">
        <v>294</v>
      </c>
      <c r="I287" s="29" t="s">
        <v>324</v>
      </c>
      <c r="J287" s="29" t="s">
        <v>294</v>
      </c>
      <c r="K287" s="29" t="s">
        <v>326</v>
      </c>
      <c r="L287" s="29" t="s">
        <v>294</v>
      </c>
      <c r="M287" s="29" t="s">
        <v>486</v>
      </c>
    </row>
    <row r="288" spans="1:13" ht="16.5" hidden="1" customHeight="1" outlineLevel="2">
      <c r="B288" s="26" t="s">
        <v>525</v>
      </c>
      <c r="C288" s="40"/>
      <c r="D288" s="155"/>
      <c r="E288" s="40"/>
      <c r="F288" s="155"/>
      <c r="G288" s="40"/>
      <c r="H288" s="155"/>
      <c r="I288" s="27"/>
      <c r="J288" s="155"/>
      <c r="K288" s="27"/>
      <c r="L288" s="155"/>
      <c r="M288" s="40">
        <f>SUM(C288:I288)</f>
        <v>0</v>
      </c>
    </row>
    <row r="289" spans="1:14" ht="16.5" hidden="1" customHeight="1" outlineLevel="2">
      <c r="B289" s="26" t="s">
        <v>526</v>
      </c>
      <c r="C289" s="40"/>
      <c r="D289" s="155"/>
      <c r="E289" s="40"/>
      <c r="F289" s="155"/>
      <c r="G289" s="40"/>
      <c r="H289" s="155"/>
      <c r="I289" s="27"/>
      <c r="J289" s="155"/>
      <c r="K289" s="27"/>
      <c r="L289" s="155"/>
      <c r="M289" s="40">
        <f t="shared" ref="M289:M290" si="91">SUM(C289:I289)</f>
        <v>0</v>
      </c>
    </row>
    <row r="290" spans="1:14" ht="16.5" hidden="1" customHeight="1" outlineLevel="2">
      <c r="B290" s="26" t="s">
        <v>527</v>
      </c>
      <c r="C290" s="40"/>
      <c r="D290" s="155"/>
      <c r="E290" s="40"/>
      <c r="F290" s="155"/>
      <c r="G290" s="40"/>
      <c r="H290" s="155"/>
      <c r="I290" s="27"/>
      <c r="J290" s="155"/>
      <c r="K290" s="27"/>
      <c r="L290" s="155"/>
      <c r="M290" s="40">
        <f t="shared" si="91"/>
        <v>0</v>
      </c>
    </row>
    <row r="291" spans="1:14" ht="16.5" hidden="1" customHeight="1" outlineLevel="2">
      <c r="B291" s="356" t="s">
        <v>528</v>
      </c>
      <c r="C291" s="355">
        <f>SUM(C288:C290)</f>
        <v>0</v>
      </c>
      <c r="D291" s="355"/>
      <c r="E291" s="355">
        <f>SUM(E288:E290)</f>
        <v>0</v>
      </c>
      <c r="F291" s="355"/>
      <c r="G291" s="355">
        <f>SUM(G288:G290)</f>
        <v>0</v>
      </c>
      <c r="H291" s="355"/>
      <c r="I291" s="355">
        <f>SUM(I288:I290)</f>
        <v>0</v>
      </c>
      <c r="J291" s="355"/>
      <c r="K291" s="355">
        <f>SUM(K288:K290)</f>
        <v>0</v>
      </c>
      <c r="L291" s="355"/>
      <c r="M291" s="355">
        <f>SUM(M288:M290)</f>
        <v>0</v>
      </c>
    </row>
    <row r="292" spans="1:14" ht="9" hidden="1" customHeight="1" outlineLevel="1"/>
    <row r="293" spans="1:14" s="25" customFormat="1" ht="11.25" hidden="1" outlineLevel="2">
      <c r="B293" s="28" t="s">
        <v>529</v>
      </c>
      <c r="C293" s="29" t="s">
        <v>322</v>
      </c>
      <c r="D293" s="29" t="s">
        <v>294</v>
      </c>
      <c r="E293" s="29" t="s">
        <v>323</v>
      </c>
      <c r="F293" s="29" t="s">
        <v>294</v>
      </c>
      <c r="G293" s="29" t="s">
        <v>325</v>
      </c>
      <c r="H293" s="29" t="s">
        <v>294</v>
      </c>
      <c r="I293" s="29" t="s">
        <v>324</v>
      </c>
      <c r="J293" s="29" t="s">
        <v>294</v>
      </c>
      <c r="K293" s="29" t="s">
        <v>326</v>
      </c>
      <c r="L293" s="29" t="s">
        <v>294</v>
      </c>
      <c r="M293" s="29" t="s">
        <v>486</v>
      </c>
    </row>
    <row r="294" spans="1:14" ht="16.5" hidden="1" customHeight="1" outlineLevel="2">
      <c r="B294" s="26" t="s">
        <v>360</v>
      </c>
      <c r="C294" s="40"/>
      <c r="D294" s="155"/>
      <c r="E294" s="40"/>
      <c r="F294" s="155"/>
      <c r="G294" s="40"/>
      <c r="H294" s="155"/>
      <c r="I294" s="27"/>
      <c r="J294" s="155"/>
      <c r="K294" s="27"/>
      <c r="L294" s="155"/>
      <c r="M294" s="40">
        <f>SUM(C294:I294)</f>
        <v>0</v>
      </c>
    </row>
    <row r="295" spans="1:14" ht="16.5" hidden="1" customHeight="1" outlineLevel="2">
      <c r="B295" s="26" t="s">
        <v>361</v>
      </c>
      <c r="C295" s="40"/>
      <c r="D295" s="155"/>
      <c r="E295" s="40"/>
      <c r="F295" s="155"/>
      <c r="G295" s="40"/>
      <c r="H295" s="155"/>
      <c r="I295" s="27"/>
      <c r="J295" s="155"/>
      <c r="K295" s="27"/>
      <c r="L295" s="155"/>
      <c r="M295" s="40">
        <f t="shared" ref="M295:M296" si="92">SUM(C295:I295)</f>
        <v>0</v>
      </c>
    </row>
    <row r="296" spans="1:14" ht="16.5" hidden="1" customHeight="1" outlineLevel="2">
      <c r="B296" s="26" t="s">
        <v>362</v>
      </c>
      <c r="C296" s="40"/>
      <c r="D296" s="155"/>
      <c r="E296" s="40"/>
      <c r="F296" s="155"/>
      <c r="G296" s="40"/>
      <c r="H296" s="155"/>
      <c r="I296" s="27"/>
      <c r="J296" s="155"/>
      <c r="K296" s="27"/>
      <c r="L296" s="155"/>
      <c r="M296" s="40">
        <f t="shared" si="92"/>
        <v>0</v>
      </c>
    </row>
    <row r="297" spans="1:14" ht="16.5" hidden="1" customHeight="1" outlineLevel="2">
      <c r="B297" s="356" t="s">
        <v>530</v>
      </c>
      <c r="C297" s="355">
        <f>SUM(C294:C296)</f>
        <v>0</v>
      </c>
      <c r="D297" s="355"/>
      <c r="E297" s="355">
        <f>SUM(E294:E296)</f>
        <v>0</v>
      </c>
      <c r="F297" s="355"/>
      <c r="G297" s="355">
        <f>SUM(G294:G296)</f>
        <v>0</v>
      </c>
      <c r="H297" s="355"/>
      <c r="I297" s="355">
        <f>SUM(I294:I296)</f>
        <v>0</v>
      </c>
      <c r="J297" s="355"/>
      <c r="K297" s="355">
        <f>SUM(K294:K296)</f>
        <v>0</v>
      </c>
      <c r="L297" s="355"/>
      <c r="M297" s="355">
        <f>SUM(M294:M296)</f>
        <v>0</v>
      </c>
    </row>
    <row r="298" spans="1:14" ht="9" hidden="1" customHeight="1" outlineLevel="1"/>
    <row r="299" spans="1:14" ht="7.5" hidden="1" customHeight="1" outlineLevel="1">
      <c r="A299" s="31"/>
      <c r="B299" s="31"/>
      <c r="C299" s="31"/>
      <c r="D299" s="31"/>
      <c r="E299" s="31"/>
      <c r="F299" s="31"/>
      <c r="G299" s="32"/>
      <c r="H299" s="32"/>
      <c r="I299" s="33"/>
      <c r="J299" s="33"/>
      <c r="K299" s="33"/>
      <c r="L299" s="33"/>
      <c r="M299" s="31"/>
      <c r="N299" s="31"/>
    </row>
    <row r="300" spans="1:14" collapsed="1"/>
    <row r="303" spans="1:14">
      <c r="C303" s="272">
        <f>+C257+C199+C189+C176+C163+C146+C123+C111+C134+C85+C73+C61+C49+C24+C12+C37</f>
        <v>0</v>
      </c>
      <c r="E303" s="272">
        <f>+E257+E199+E189+E176+E163+E146+E123+E111+E134+E85+E73+E61+E49+E24+E12+E37</f>
        <v>0</v>
      </c>
      <c r="G303" s="272">
        <f>+G257+G199+G189+G176+G163+G146+G123+G111+G134+G85+G73+G61+G49+G24+G12+G37</f>
        <v>0</v>
      </c>
      <c r="I303" s="272">
        <f>+I257+I199+I189+I176+I163+I146+I123+I111+I134+I85+I73+I61+I49+I24+I12+I37</f>
        <v>0</v>
      </c>
      <c r="K303" s="272">
        <f>+K257+K199+K189+K176+K163+K146+K123+K111+K134+K85+K73+K61+K49+K24+K12+K37</f>
        <v>0</v>
      </c>
      <c r="M303" s="272">
        <f>+M257+M199+M189+M176+M163+M146+M123+M111+M134+M85+M73+M61+M49+M24+M12+M37</f>
        <v>0</v>
      </c>
    </row>
    <row r="305" spans="13:13">
      <c r="M305" s="272">
        <f>+M303-SUM(C303:K303)</f>
        <v>0</v>
      </c>
    </row>
  </sheetData>
  <pageMargins left="0.75" right="0.75" top="0.49" bottom="0.69" header="0.511811024" footer="0.511811024"/>
  <pageSetup paperSize="9" scale="38" fitToHeight="2" orientation="landscape" r:id="rId1"/>
  <headerFooter alignWithMargins="0">
    <oddFooter>Página 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39997558519241921"/>
  </sheetPr>
  <dimension ref="D4:E32"/>
  <sheetViews>
    <sheetView topLeftCell="C1" workbookViewId="0">
      <selection activeCell="T17" sqref="T17"/>
    </sheetView>
  </sheetViews>
  <sheetFormatPr defaultColWidth="11.42578125" defaultRowHeight="12.75"/>
  <sheetData>
    <row r="4" spans="4:4">
      <c r="D4" s="57"/>
    </row>
    <row r="30" spans="5:5" ht="21">
      <c r="E30" s="92"/>
    </row>
    <row r="31" spans="5:5" ht="15">
      <c r="E31" s="93"/>
    </row>
    <row r="32" spans="5:5" ht="15">
      <c r="E32" s="93"/>
    </row>
  </sheetData>
  <pageMargins left="0.75" right="0.75" top="1" bottom="1" header="0.511811024" footer="0.511811024"/>
  <headerFooter alignWithMargins="0">
    <oddHeader>&amp;A</oddHeader>
    <oddFooter>Página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198"/>
  <sheetViews>
    <sheetView topLeftCell="A175" workbookViewId="0">
      <selection activeCell="H193" sqref="H193"/>
    </sheetView>
  </sheetViews>
  <sheetFormatPr defaultColWidth="11.42578125" defaultRowHeight="15"/>
  <cols>
    <col min="1" max="1" width="46.140625" style="275" bestFit="1" customWidth="1"/>
    <col min="2" max="2" width="10.7109375" style="275" bestFit="1" customWidth="1"/>
    <col min="3" max="3" width="32.85546875" style="275" bestFit="1" customWidth="1"/>
    <col min="4" max="4" width="12.140625" style="275" bestFit="1" customWidth="1"/>
    <col min="5" max="5" width="12.85546875" style="275" bestFit="1" customWidth="1"/>
    <col min="6" max="6" width="13.42578125" style="275" bestFit="1" customWidth="1"/>
    <col min="7" max="7" width="10.85546875" style="275" bestFit="1" customWidth="1"/>
    <col min="8" max="8" width="12.5703125" style="275" bestFit="1" customWidth="1"/>
    <col min="9" max="16384" width="11.42578125" style="275"/>
  </cols>
  <sheetData>
    <row r="1" spans="1:8" ht="23.25">
      <c r="A1" s="274" t="s">
        <v>531</v>
      </c>
    </row>
    <row r="3" spans="1:8">
      <c r="A3" s="276" t="s">
        <v>532</v>
      </c>
    </row>
    <row r="4" spans="1:8">
      <c r="A4" s="276" t="s">
        <v>533</v>
      </c>
    </row>
    <row r="5" spans="1:8">
      <c r="A5" s="276"/>
    </row>
    <row r="8" spans="1:8">
      <c r="A8" s="277" t="s">
        <v>534</v>
      </c>
      <c r="B8" s="278"/>
      <c r="C8" s="278"/>
      <c r="D8" s="278"/>
      <c r="E8" s="278"/>
      <c r="F8" s="278"/>
      <c r="G8" s="278"/>
      <c r="H8" s="278"/>
    </row>
    <row r="9" spans="1:8" ht="15.75" thickBot="1"/>
    <row r="10" spans="1:8" ht="16.5" thickTop="1" thickBot="1">
      <c r="A10" s="277" t="s">
        <v>535</v>
      </c>
      <c r="B10" s="279" t="s">
        <v>536</v>
      </c>
      <c r="C10" s="280" t="s">
        <v>537</v>
      </c>
      <c r="D10" s="280" t="s">
        <v>538</v>
      </c>
      <c r="E10" s="279" t="s">
        <v>539</v>
      </c>
      <c r="F10" s="279" t="s">
        <v>540</v>
      </c>
      <c r="G10" s="279" t="s">
        <v>541</v>
      </c>
      <c r="H10" s="280" t="s">
        <v>542</v>
      </c>
    </row>
    <row r="11" spans="1:8" ht="15.75" thickTop="1">
      <c r="B11" s="281"/>
      <c r="E11" s="282"/>
      <c r="F11" s="282">
        <v>0</v>
      </c>
      <c r="G11" s="282">
        <f>E11-F11</f>
        <v>0</v>
      </c>
    </row>
    <row r="12" spans="1:8">
      <c r="B12" s="281"/>
      <c r="E12" s="282"/>
      <c r="F12" s="282">
        <v>0</v>
      </c>
      <c r="G12" s="282">
        <f>E12-F12+G11</f>
        <v>0</v>
      </c>
    </row>
    <row r="13" spans="1:8">
      <c r="B13" s="281"/>
      <c r="E13" s="282"/>
      <c r="F13" s="282">
        <v>0</v>
      </c>
      <c r="G13" s="282">
        <f>E13-F13+G12</f>
        <v>0</v>
      </c>
    </row>
    <row r="14" spans="1:8">
      <c r="B14" s="281"/>
      <c r="E14" s="282"/>
      <c r="F14" s="282">
        <v>0</v>
      </c>
      <c r="G14" s="282">
        <f>E14-F14+G13</f>
        <v>0</v>
      </c>
    </row>
    <row r="16" spans="1:8">
      <c r="C16" s="276" t="s">
        <v>543</v>
      </c>
      <c r="E16" s="283">
        <f>SUM(E11:E14)</f>
        <v>0</v>
      </c>
      <c r="F16" s="283">
        <f>SUM(F11:F14)</f>
        <v>0</v>
      </c>
      <c r="G16" s="283">
        <f>E16-F16</f>
        <v>0</v>
      </c>
    </row>
    <row r="17" spans="1:8">
      <c r="C17" s="276" t="s">
        <v>544</v>
      </c>
      <c r="E17" s="283">
        <f>E16</f>
        <v>0</v>
      </c>
      <c r="F17" s="283">
        <f>F16</f>
        <v>0</v>
      </c>
      <c r="G17" s="283">
        <f>E17-F17</f>
        <v>0</v>
      </c>
    </row>
    <row r="19" spans="1:8" ht="15.75" thickBot="1"/>
    <row r="20" spans="1:8" ht="16.5" thickTop="1" thickBot="1">
      <c r="A20" s="277" t="s">
        <v>545</v>
      </c>
      <c r="B20" s="279" t="s">
        <v>536</v>
      </c>
      <c r="C20" s="280" t="s">
        <v>537</v>
      </c>
      <c r="D20" s="280" t="s">
        <v>538</v>
      </c>
      <c r="E20" s="279" t="s">
        <v>539</v>
      </c>
      <c r="F20" s="279" t="s">
        <v>540</v>
      </c>
      <c r="G20" s="279" t="s">
        <v>541</v>
      </c>
      <c r="H20" s="280" t="s">
        <v>542</v>
      </c>
    </row>
    <row r="21" spans="1:8" ht="15.75" thickTop="1">
      <c r="B21" s="281"/>
      <c r="E21" s="282"/>
      <c r="F21" s="282">
        <v>0</v>
      </c>
      <c r="G21" s="282">
        <f>E21-F21</f>
        <v>0</v>
      </c>
    </row>
    <row r="23" spans="1:8">
      <c r="C23" s="276" t="s">
        <v>543</v>
      </c>
      <c r="E23" s="283">
        <f>SUM(E21:E21)</f>
        <v>0</v>
      </c>
      <c r="F23" s="283">
        <f>SUM(F21:F21)</f>
        <v>0</v>
      </c>
      <c r="G23" s="283">
        <f>E23-F23</f>
        <v>0</v>
      </c>
    </row>
    <row r="24" spans="1:8">
      <c r="C24" s="276" t="s">
        <v>544</v>
      </c>
      <c r="E24" s="283">
        <f>E23+E17</f>
        <v>0</v>
      </c>
      <c r="F24" s="283">
        <f>F23+F17</f>
        <v>0</v>
      </c>
      <c r="G24" s="283">
        <f>E24-F24</f>
        <v>0</v>
      </c>
    </row>
    <row r="26" spans="1:8" ht="15.75" thickBot="1"/>
    <row r="27" spans="1:8" ht="16.5" thickTop="1" thickBot="1">
      <c r="A27" s="277" t="s">
        <v>546</v>
      </c>
      <c r="B27" s="279" t="s">
        <v>536</v>
      </c>
      <c r="C27" s="280" t="s">
        <v>537</v>
      </c>
      <c r="D27" s="280" t="s">
        <v>538</v>
      </c>
      <c r="E27" s="279" t="s">
        <v>539</v>
      </c>
      <c r="F27" s="279" t="s">
        <v>540</v>
      </c>
      <c r="G27" s="279" t="s">
        <v>541</v>
      </c>
      <c r="H27" s="280" t="s">
        <v>542</v>
      </c>
    </row>
    <row r="28" spans="1:8" ht="15.75" thickTop="1">
      <c r="B28" s="281"/>
      <c r="E28" s="282"/>
      <c r="F28" s="282">
        <v>0</v>
      </c>
      <c r="G28" s="282">
        <f>E28-F28</f>
        <v>0</v>
      </c>
    </row>
    <row r="29" spans="1:8">
      <c r="B29" s="281"/>
      <c r="E29" s="282"/>
      <c r="F29" s="282">
        <v>0</v>
      </c>
      <c r="G29" s="282">
        <f t="shared" ref="G29:G35" si="0">E29-F29+G28</f>
        <v>0</v>
      </c>
    </row>
    <row r="30" spans="1:8">
      <c r="B30" s="281"/>
      <c r="E30" s="282"/>
      <c r="F30" s="282">
        <v>0</v>
      </c>
      <c r="G30" s="282">
        <f t="shared" si="0"/>
        <v>0</v>
      </c>
    </row>
    <row r="31" spans="1:8">
      <c r="B31" s="281"/>
      <c r="E31" s="282"/>
      <c r="F31" s="282">
        <v>0</v>
      </c>
      <c r="G31" s="282">
        <f t="shared" si="0"/>
        <v>0</v>
      </c>
    </row>
    <row r="32" spans="1:8">
      <c r="B32" s="281"/>
      <c r="E32" s="282"/>
      <c r="F32" s="282">
        <v>0</v>
      </c>
      <c r="G32" s="282">
        <f t="shared" si="0"/>
        <v>0</v>
      </c>
    </row>
    <row r="33" spans="1:8">
      <c r="B33" s="281"/>
      <c r="E33" s="282"/>
      <c r="F33" s="282">
        <v>0</v>
      </c>
      <c r="G33" s="282">
        <f t="shared" si="0"/>
        <v>0</v>
      </c>
    </row>
    <row r="34" spans="1:8">
      <c r="B34" s="281"/>
      <c r="E34" s="282"/>
      <c r="F34" s="282">
        <v>0</v>
      </c>
      <c r="G34" s="282">
        <f t="shared" si="0"/>
        <v>0</v>
      </c>
    </row>
    <row r="35" spans="1:8">
      <c r="B35" s="281"/>
      <c r="E35" s="282"/>
      <c r="F35" s="282">
        <v>0</v>
      </c>
      <c r="G35" s="282">
        <f t="shared" si="0"/>
        <v>0</v>
      </c>
    </row>
    <row r="37" spans="1:8">
      <c r="C37" s="276" t="s">
        <v>543</v>
      </c>
      <c r="E37" s="283">
        <f>SUM(E28:E35)</f>
        <v>0</v>
      </c>
      <c r="F37" s="283">
        <f>SUM(F28:F35)</f>
        <v>0</v>
      </c>
      <c r="G37" s="283">
        <f>E37-F37</f>
        <v>0</v>
      </c>
    </row>
    <row r="38" spans="1:8">
      <c r="C38" s="276" t="s">
        <v>544</v>
      </c>
      <c r="E38" s="283">
        <f>E37+E24</f>
        <v>0</v>
      </c>
      <c r="F38" s="283">
        <f>F37+F24</f>
        <v>0</v>
      </c>
      <c r="G38" s="283">
        <f>E38-F38</f>
        <v>0</v>
      </c>
    </row>
    <row r="40" spans="1:8" ht="15.75" thickBot="1"/>
    <row r="41" spans="1:8" ht="16.5" thickTop="1" thickBot="1">
      <c r="A41" s="277" t="s">
        <v>547</v>
      </c>
      <c r="B41" s="279" t="s">
        <v>536</v>
      </c>
      <c r="C41" s="280" t="s">
        <v>537</v>
      </c>
      <c r="D41" s="280" t="s">
        <v>538</v>
      </c>
      <c r="E41" s="279" t="s">
        <v>539</v>
      </c>
      <c r="F41" s="279" t="s">
        <v>540</v>
      </c>
      <c r="G41" s="279" t="s">
        <v>541</v>
      </c>
      <c r="H41" s="280" t="s">
        <v>542</v>
      </c>
    </row>
    <row r="42" spans="1:8" ht="15.75" thickTop="1">
      <c r="B42" s="281"/>
      <c r="E42" s="282"/>
      <c r="F42" s="282">
        <v>0</v>
      </c>
      <c r="G42" s="282">
        <f>E42-F42</f>
        <v>0</v>
      </c>
    </row>
    <row r="44" spans="1:8">
      <c r="C44" s="276" t="s">
        <v>543</v>
      </c>
      <c r="E44" s="283">
        <f>SUM(E42:E42)</f>
        <v>0</v>
      </c>
      <c r="F44" s="283">
        <f>SUM(F42:F42)</f>
        <v>0</v>
      </c>
      <c r="G44" s="283">
        <f>E44-F44</f>
        <v>0</v>
      </c>
    </row>
    <row r="45" spans="1:8">
      <c r="C45" s="276" t="s">
        <v>544</v>
      </c>
      <c r="E45" s="283">
        <f>E44+E38</f>
        <v>0</v>
      </c>
      <c r="F45" s="283">
        <f>F44+F38</f>
        <v>0</v>
      </c>
      <c r="G45" s="283">
        <f>E45-F45</f>
        <v>0</v>
      </c>
    </row>
    <row r="47" spans="1:8" ht="15.75" thickBot="1"/>
    <row r="48" spans="1:8" ht="16.5" thickTop="1" thickBot="1">
      <c r="A48" s="277" t="s">
        <v>548</v>
      </c>
      <c r="B48" s="279" t="s">
        <v>536</v>
      </c>
      <c r="C48" s="280" t="s">
        <v>537</v>
      </c>
      <c r="D48" s="280" t="s">
        <v>538</v>
      </c>
      <c r="E48" s="279" t="s">
        <v>539</v>
      </c>
      <c r="F48" s="279" t="s">
        <v>540</v>
      </c>
      <c r="G48" s="279" t="s">
        <v>541</v>
      </c>
      <c r="H48" s="280" t="s">
        <v>542</v>
      </c>
    </row>
    <row r="49" spans="1:8" ht="15.75" thickTop="1">
      <c r="B49" s="281"/>
      <c r="E49" s="282"/>
      <c r="F49" s="282">
        <v>0</v>
      </c>
      <c r="G49" s="282">
        <f>E49-F49</f>
        <v>0</v>
      </c>
    </row>
    <row r="50" spans="1:8">
      <c r="B50" s="281"/>
      <c r="E50" s="282"/>
      <c r="F50" s="282">
        <v>0</v>
      </c>
      <c r="G50" s="282">
        <f>E50-F50+G49</f>
        <v>0</v>
      </c>
    </row>
    <row r="51" spans="1:8">
      <c r="B51" s="281"/>
      <c r="E51" s="282"/>
      <c r="F51" s="282">
        <v>0</v>
      </c>
      <c r="G51" s="282">
        <f>E51-F51+G50</f>
        <v>0</v>
      </c>
    </row>
    <row r="52" spans="1:8">
      <c r="B52" s="281"/>
      <c r="E52" s="282"/>
      <c r="F52" s="282">
        <v>0</v>
      </c>
      <c r="G52" s="282">
        <f>E52-F52+G51</f>
        <v>0</v>
      </c>
    </row>
    <row r="54" spans="1:8">
      <c r="C54" s="276" t="s">
        <v>543</v>
      </c>
      <c r="E54" s="283">
        <f>SUM(E49:E52)</f>
        <v>0</v>
      </c>
      <c r="F54" s="283">
        <f>SUM(F49:F52)</f>
        <v>0</v>
      </c>
      <c r="G54" s="283">
        <f>E54-F54</f>
        <v>0</v>
      </c>
    </row>
    <row r="55" spans="1:8">
      <c r="C55" s="276" t="s">
        <v>544</v>
      </c>
      <c r="E55" s="283">
        <f>E54+E45</f>
        <v>0</v>
      </c>
      <c r="F55" s="283">
        <f>F54+F45</f>
        <v>0</v>
      </c>
      <c r="G55" s="283">
        <f>E55-F55</f>
        <v>0</v>
      </c>
    </row>
    <row r="57" spans="1:8" ht="15.75" thickBot="1"/>
    <row r="58" spans="1:8" ht="16.5" thickTop="1" thickBot="1">
      <c r="A58" s="277" t="s">
        <v>549</v>
      </c>
      <c r="B58" s="279" t="s">
        <v>536</v>
      </c>
      <c r="C58" s="280" t="s">
        <v>537</v>
      </c>
      <c r="D58" s="280" t="s">
        <v>538</v>
      </c>
      <c r="E58" s="279" t="s">
        <v>539</v>
      </c>
      <c r="F58" s="279" t="s">
        <v>540</v>
      </c>
      <c r="G58" s="279" t="s">
        <v>541</v>
      </c>
      <c r="H58" s="280" t="s">
        <v>542</v>
      </c>
    </row>
    <row r="59" spans="1:8" ht="15.75" thickTop="1">
      <c r="B59" s="281"/>
      <c r="E59" s="282"/>
      <c r="F59" s="282">
        <v>0</v>
      </c>
      <c r="G59" s="282">
        <f>E59-F59</f>
        <v>0</v>
      </c>
    </row>
    <row r="60" spans="1:8">
      <c r="B60" s="281"/>
      <c r="E60" s="282"/>
      <c r="F60" s="282">
        <v>0</v>
      </c>
      <c r="G60" s="282">
        <f>E60-F60+G59</f>
        <v>0</v>
      </c>
    </row>
    <row r="62" spans="1:8">
      <c r="C62" s="276" t="s">
        <v>543</v>
      </c>
      <c r="E62" s="283">
        <f>SUM(E59:E60)</f>
        <v>0</v>
      </c>
      <c r="F62" s="283">
        <f>SUM(F59:F60)</f>
        <v>0</v>
      </c>
      <c r="G62" s="283">
        <f>E62-F62</f>
        <v>0</v>
      </c>
    </row>
    <row r="63" spans="1:8">
      <c r="C63" s="276" t="s">
        <v>544</v>
      </c>
      <c r="E63" s="283">
        <f>E62+E55</f>
        <v>0</v>
      </c>
      <c r="F63" s="283">
        <f>F62+F55</f>
        <v>0</v>
      </c>
      <c r="G63" s="283">
        <f>E63-F63</f>
        <v>0</v>
      </c>
    </row>
    <row r="65" spans="1:8" ht="15.75" thickBot="1"/>
    <row r="66" spans="1:8" ht="16.5" thickTop="1" thickBot="1">
      <c r="A66" s="277" t="s">
        <v>550</v>
      </c>
      <c r="B66" s="279" t="s">
        <v>536</v>
      </c>
      <c r="C66" s="280" t="s">
        <v>537</v>
      </c>
      <c r="D66" s="280" t="s">
        <v>538</v>
      </c>
      <c r="E66" s="279" t="s">
        <v>539</v>
      </c>
      <c r="F66" s="279" t="s">
        <v>540</v>
      </c>
      <c r="G66" s="279" t="s">
        <v>541</v>
      </c>
      <c r="H66" s="280" t="s">
        <v>542</v>
      </c>
    </row>
    <row r="67" spans="1:8" ht="15.75" thickTop="1">
      <c r="B67" s="281"/>
      <c r="E67" s="282"/>
      <c r="F67" s="282">
        <v>0</v>
      </c>
      <c r="G67" s="282">
        <f>E67-F67</f>
        <v>0</v>
      </c>
    </row>
    <row r="68" spans="1:8">
      <c r="B68" s="281"/>
      <c r="E68" s="282"/>
      <c r="F68" s="282">
        <v>0</v>
      </c>
      <c r="G68" s="282">
        <f>E68-F68+G67</f>
        <v>0</v>
      </c>
    </row>
    <row r="69" spans="1:8">
      <c r="B69" s="281"/>
      <c r="E69" s="282"/>
      <c r="F69" s="282">
        <v>0</v>
      </c>
      <c r="G69" s="282">
        <f>E69-F69+G68</f>
        <v>0</v>
      </c>
    </row>
    <row r="71" spans="1:8">
      <c r="C71" s="276" t="s">
        <v>543</v>
      </c>
      <c r="E71" s="283">
        <f>SUM(E67:E69)</f>
        <v>0</v>
      </c>
      <c r="F71" s="283">
        <f>SUM(F67:F69)</f>
        <v>0</v>
      </c>
      <c r="G71" s="283">
        <f>E71-F71</f>
        <v>0</v>
      </c>
    </row>
    <row r="72" spans="1:8">
      <c r="C72" s="276" t="s">
        <v>544</v>
      </c>
      <c r="E72" s="283">
        <f>E71+E63</f>
        <v>0</v>
      </c>
      <c r="F72" s="283">
        <f>F71+F63</f>
        <v>0</v>
      </c>
      <c r="G72" s="283">
        <f>E72-F72</f>
        <v>0</v>
      </c>
    </row>
    <row r="74" spans="1:8" ht="15.75" thickBot="1"/>
    <row r="75" spans="1:8" ht="16.5" thickTop="1" thickBot="1">
      <c r="A75" s="277" t="s">
        <v>551</v>
      </c>
      <c r="B75" s="279" t="s">
        <v>536</v>
      </c>
      <c r="C75" s="280" t="s">
        <v>537</v>
      </c>
      <c r="D75" s="280" t="s">
        <v>538</v>
      </c>
      <c r="E75" s="279" t="s">
        <v>539</v>
      </c>
      <c r="F75" s="279" t="s">
        <v>540</v>
      </c>
      <c r="G75" s="279" t="s">
        <v>541</v>
      </c>
      <c r="H75" s="280" t="s">
        <v>542</v>
      </c>
    </row>
    <row r="76" spans="1:8" ht="15.75" thickTop="1">
      <c r="B76" s="281"/>
      <c r="E76" s="282"/>
      <c r="F76" s="282">
        <v>0</v>
      </c>
      <c r="G76" s="282">
        <f>E76-F76</f>
        <v>0</v>
      </c>
    </row>
    <row r="78" spans="1:8">
      <c r="C78" s="276" t="s">
        <v>543</v>
      </c>
      <c r="E78" s="283">
        <f>SUM(E76:E76)</f>
        <v>0</v>
      </c>
      <c r="F78" s="283">
        <f>SUM(F76:F76)</f>
        <v>0</v>
      </c>
      <c r="G78" s="283">
        <f>E78-F78</f>
        <v>0</v>
      </c>
    </row>
    <row r="79" spans="1:8">
      <c r="C79" s="276" t="s">
        <v>544</v>
      </c>
      <c r="E79" s="283">
        <f>E78+E72</f>
        <v>0</v>
      </c>
      <c r="F79" s="283">
        <f>F78+F72</f>
        <v>0</v>
      </c>
      <c r="G79" s="283">
        <f>E79-F79</f>
        <v>0</v>
      </c>
    </row>
    <row r="81" spans="1:8" ht="15.75" thickBot="1"/>
    <row r="82" spans="1:8" ht="16.5" thickTop="1" thickBot="1">
      <c r="A82" s="277" t="s">
        <v>552</v>
      </c>
      <c r="B82" s="279" t="s">
        <v>536</v>
      </c>
      <c r="C82" s="280" t="s">
        <v>537</v>
      </c>
      <c r="D82" s="280" t="s">
        <v>538</v>
      </c>
      <c r="E82" s="279" t="s">
        <v>539</v>
      </c>
      <c r="F82" s="279" t="s">
        <v>540</v>
      </c>
      <c r="G82" s="279" t="s">
        <v>541</v>
      </c>
      <c r="H82" s="280" t="s">
        <v>542</v>
      </c>
    </row>
    <row r="83" spans="1:8" ht="15.75" thickTop="1">
      <c r="B83" s="281"/>
      <c r="E83" s="282"/>
      <c r="F83" s="282">
        <v>0</v>
      </c>
      <c r="G83" s="282">
        <f>E83-F83</f>
        <v>0</v>
      </c>
    </row>
    <row r="85" spans="1:8">
      <c r="C85" s="276" t="s">
        <v>543</v>
      </c>
      <c r="E85" s="283">
        <f>SUM(E83:E83)</f>
        <v>0</v>
      </c>
      <c r="F85" s="283">
        <f>SUM(F83:F83)</f>
        <v>0</v>
      </c>
      <c r="G85" s="283">
        <f>E85-F85</f>
        <v>0</v>
      </c>
    </row>
    <row r="86" spans="1:8">
      <c r="C86" s="276" t="s">
        <v>544</v>
      </c>
      <c r="E86" s="283">
        <f>E85+E79</f>
        <v>0</v>
      </c>
      <c r="F86" s="283">
        <f>F85+F79</f>
        <v>0</v>
      </c>
      <c r="G86" s="283">
        <f>E86-F86</f>
        <v>0</v>
      </c>
    </row>
    <row r="88" spans="1:8" ht="15.75" thickBot="1"/>
    <row r="89" spans="1:8" ht="16.5" thickTop="1" thickBot="1">
      <c r="A89" s="277" t="s">
        <v>553</v>
      </c>
      <c r="B89" s="279" t="s">
        <v>536</v>
      </c>
      <c r="C89" s="280" t="s">
        <v>537</v>
      </c>
      <c r="D89" s="280" t="s">
        <v>538</v>
      </c>
      <c r="E89" s="279" t="s">
        <v>539</v>
      </c>
      <c r="F89" s="279" t="s">
        <v>540</v>
      </c>
      <c r="G89" s="279" t="s">
        <v>541</v>
      </c>
      <c r="H89" s="280" t="s">
        <v>542</v>
      </c>
    </row>
    <row r="90" spans="1:8" ht="15.75" thickTop="1">
      <c r="B90" s="281"/>
      <c r="E90" s="282"/>
      <c r="F90" s="282">
        <v>0</v>
      </c>
      <c r="G90" s="282">
        <f>E90-F90</f>
        <v>0</v>
      </c>
    </row>
    <row r="91" spans="1:8">
      <c r="B91" s="281"/>
      <c r="E91" s="282"/>
      <c r="F91" s="282">
        <v>0</v>
      </c>
      <c r="G91" s="282">
        <f t="shared" ref="G91:G96" si="1">E91-F91+G90</f>
        <v>0</v>
      </c>
    </row>
    <row r="92" spans="1:8">
      <c r="B92" s="281"/>
      <c r="E92" s="282"/>
      <c r="F92" s="282">
        <v>0</v>
      </c>
      <c r="G92" s="282">
        <f t="shared" si="1"/>
        <v>0</v>
      </c>
    </row>
    <row r="93" spans="1:8">
      <c r="B93" s="281"/>
      <c r="E93" s="282"/>
      <c r="F93" s="282">
        <v>0</v>
      </c>
      <c r="G93" s="282">
        <f t="shared" si="1"/>
        <v>0</v>
      </c>
    </row>
    <row r="94" spans="1:8">
      <c r="B94" s="281"/>
      <c r="E94" s="282"/>
      <c r="F94" s="282">
        <v>0</v>
      </c>
      <c r="G94" s="282">
        <f t="shared" si="1"/>
        <v>0</v>
      </c>
    </row>
    <row r="95" spans="1:8">
      <c r="B95" s="281"/>
      <c r="E95" s="282"/>
      <c r="F95" s="282">
        <v>0</v>
      </c>
      <c r="G95" s="282">
        <f t="shared" si="1"/>
        <v>0</v>
      </c>
    </row>
    <row r="96" spans="1:8">
      <c r="B96" s="281"/>
      <c r="E96" s="282"/>
      <c r="F96" s="282">
        <v>0</v>
      </c>
      <c r="G96" s="282">
        <f t="shared" si="1"/>
        <v>0</v>
      </c>
    </row>
    <row r="98" spans="1:8">
      <c r="C98" s="276" t="s">
        <v>543</v>
      </c>
      <c r="E98" s="283">
        <f>SUM(E90:E96)</f>
        <v>0</v>
      </c>
      <c r="F98" s="283">
        <f>SUM(F90:F96)</f>
        <v>0</v>
      </c>
      <c r="G98" s="283">
        <f>E98-F98</f>
        <v>0</v>
      </c>
    </row>
    <row r="99" spans="1:8">
      <c r="C99" s="276" t="s">
        <v>544</v>
      </c>
      <c r="E99" s="283">
        <f>E98+E86</f>
        <v>0</v>
      </c>
      <c r="F99" s="283">
        <f>F98+F86</f>
        <v>0</v>
      </c>
      <c r="G99" s="283">
        <f>E99-F99</f>
        <v>0</v>
      </c>
    </row>
    <row r="101" spans="1:8" ht="15.75" thickBot="1"/>
    <row r="102" spans="1:8" ht="16.5" thickTop="1" thickBot="1">
      <c r="A102" s="277" t="s">
        <v>554</v>
      </c>
      <c r="B102" s="279" t="s">
        <v>536</v>
      </c>
      <c r="C102" s="280" t="s">
        <v>537</v>
      </c>
      <c r="D102" s="280" t="s">
        <v>538</v>
      </c>
      <c r="E102" s="279" t="s">
        <v>539</v>
      </c>
      <c r="F102" s="279" t="s">
        <v>540</v>
      </c>
      <c r="G102" s="279" t="s">
        <v>541</v>
      </c>
      <c r="H102" s="280" t="s">
        <v>542</v>
      </c>
    </row>
    <row r="103" spans="1:8" ht="15.75" thickTop="1">
      <c r="B103" s="281"/>
      <c r="E103" s="282"/>
      <c r="F103" s="282"/>
      <c r="G103" s="282">
        <f>E103-F103</f>
        <v>0</v>
      </c>
    </row>
    <row r="104" spans="1:8">
      <c r="B104" s="281"/>
      <c r="E104" s="282"/>
      <c r="F104" s="282"/>
      <c r="G104" s="282">
        <f>E104-F104+G103</f>
        <v>0</v>
      </c>
    </row>
    <row r="105" spans="1:8">
      <c r="B105" s="281"/>
      <c r="E105" s="282"/>
      <c r="F105" s="282"/>
      <c r="G105" s="282">
        <f>E105-F105+G104</f>
        <v>0</v>
      </c>
    </row>
    <row r="106" spans="1:8">
      <c r="B106" s="281"/>
      <c r="E106" s="282"/>
      <c r="F106" s="282"/>
      <c r="G106" s="282">
        <f>E106-F106+G105</f>
        <v>0</v>
      </c>
    </row>
    <row r="108" spans="1:8">
      <c r="C108" s="276" t="s">
        <v>543</v>
      </c>
      <c r="E108" s="283">
        <f>SUM(E103:E106)</f>
        <v>0</v>
      </c>
      <c r="F108" s="283">
        <f>SUM(F103:F106)</f>
        <v>0</v>
      </c>
      <c r="G108" s="283">
        <f>E108-F108</f>
        <v>0</v>
      </c>
    </row>
    <row r="109" spans="1:8">
      <c r="C109" s="276" t="s">
        <v>544</v>
      </c>
      <c r="E109" s="283">
        <f>E108+E99</f>
        <v>0</v>
      </c>
      <c r="F109" s="283">
        <f>F108+F99</f>
        <v>0</v>
      </c>
      <c r="G109" s="283">
        <f>E109-F109</f>
        <v>0</v>
      </c>
    </row>
    <row r="111" spans="1:8" ht="15.75" thickBot="1"/>
    <row r="112" spans="1:8" ht="16.5" thickTop="1" thickBot="1">
      <c r="A112" s="277" t="s">
        <v>555</v>
      </c>
      <c r="B112" s="279" t="s">
        <v>536</v>
      </c>
      <c r="C112" s="280" t="s">
        <v>537</v>
      </c>
      <c r="D112" s="280" t="s">
        <v>538</v>
      </c>
      <c r="E112" s="279" t="s">
        <v>539</v>
      </c>
      <c r="F112" s="279" t="s">
        <v>540</v>
      </c>
      <c r="G112" s="279" t="s">
        <v>541</v>
      </c>
      <c r="H112" s="280" t="s">
        <v>542</v>
      </c>
    </row>
    <row r="113" spans="2:7" ht="15.75" thickTop="1">
      <c r="B113" s="281"/>
      <c r="E113" s="282"/>
      <c r="F113" s="282"/>
      <c r="G113" s="282">
        <f>E113-F113</f>
        <v>0</v>
      </c>
    </row>
    <row r="114" spans="2:7">
      <c r="B114" s="281"/>
      <c r="E114" s="282"/>
      <c r="F114" s="282"/>
      <c r="G114" s="282">
        <f t="shared" ref="G114:G128" si="2">E114-F114+G113</f>
        <v>0</v>
      </c>
    </row>
    <row r="115" spans="2:7">
      <c r="B115" s="281"/>
      <c r="E115" s="282"/>
      <c r="F115" s="282"/>
      <c r="G115" s="282">
        <f t="shared" si="2"/>
        <v>0</v>
      </c>
    </row>
    <row r="116" spans="2:7">
      <c r="B116" s="281"/>
      <c r="E116" s="282"/>
      <c r="F116" s="282"/>
      <c r="G116" s="282">
        <f t="shared" si="2"/>
        <v>0</v>
      </c>
    </row>
    <row r="117" spans="2:7">
      <c r="B117" s="281"/>
      <c r="E117" s="282"/>
      <c r="F117" s="282"/>
      <c r="G117" s="282">
        <f t="shared" si="2"/>
        <v>0</v>
      </c>
    </row>
    <row r="118" spans="2:7">
      <c r="B118" s="281"/>
      <c r="E118" s="282"/>
      <c r="F118" s="282"/>
      <c r="G118" s="282">
        <f t="shared" si="2"/>
        <v>0</v>
      </c>
    </row>
    <row r="119" spans="2:7">
      <c r="B119" s="281"/>
      <c r="E119" s="282"/>
      <c r="F119" s="282"/>
      <c r="G119" s="282">
        <f t="shared" si="2"/>
        <v>0</v>
      </c>
    </row>
    <row r="120" spans="2:7">
      <c r="B120" s="281"/>
      <c r="E120" s="282"/>
      <c r="F120" s="282"/>
      <c r="G120" s="282">
        <f t="shared" si="2"/>
        <v>0</v>
      </c>
    </row>
    <row r="121" spans="2:7">
      <c r="B121" s="281"/>
      <c r="E121" s="282"/>
      <c r="F121" s="282"/>
      <c r="G121" s="282">
        <f t="shared" si="2"/>
        <v>0</v>
      </c>
    </row>
    <row r="122" spans="2:7">
      <c r="B122" s="281"/>
      <c r="E122" s="282"/>
      <c r="F122" s="282"/>
      <c r="G122" s="282">
        <f t="shared" si="2"/>
        <v>0</v>
      </c>
    </row>
    <row r="123" spans="2:7">
      <c r="B123" s="281"/>
      <c r="E123" s="282"/>
      <c r="F123" s="282"/>
      <c r="G123" s="282">
        <f t="shared" si="2"/>
        <v>0</v>
      </c>
    </row>
    <row r="124" spans="2:7">
      <c r="B124" s="281"/>
      <c r="E124" s="282"/>
      <c r="F124" s="282"/>
      <c r="G124" s="282">
        <f t="shared" si="2"/>
        <v>0</v>
      </c>
    </row>
    <row r="125" spans="2:7">
      <c r="B125" s="281"/>
      <c r="E125" s="282"/>
      <c r="F125" s="282"/>
      <c r="G125" s="282">
        <f t="shared" si="2"/>
        <v>0</v>
      </c>
    </row>
    <row r="126" spans="2:7">
      <c r="B126" s="281"/>
      <c r="E126" s="282"/>
      <c r="F126" s="282"/>
      <c r="G126" s="282">
        <f t="shared" si="2"/>
        <v>0</v>
      </c>
    </row>
    <row r="127" spans="2:7">
      <c r="B127" s="281"/>
      <c r="E127" s="282"/>
      <c r="F127" s="282"/>
      <c r="G127" s="282">
        <f t="shared" si="2"/>
        <v>0</v>
      </c>
    </row>
    <row r="128" spans="2:7">
      <c r="B128" s="281"/>
      <c r="E128" s="282"/>
      <c r="F128" s="282"/>
      <c r="G128" s="282">
        <f t="shared" si="2"/>
        <v>0</v>
      </c>
    </row>
    <row r="130" spans="1:8">
      <c r="C130" s="276" t="s">
        <v>543</v>
      </c>
      <c r="E130" s="283">
        <f>SUM(E113:E128)</f>
        <v>0</v>
      </c>
      <c r="F130" s="283">
        <f>SUM(F113:F128)</f>
        <v>0</v>
      </c>
      <c r="G130" s="283">
        <f>E130-F130</f>
        <v>0</v>
      </c>
    </row>
    <row r="131" spans="1:8">
      <c r="C131" s="276" t="s">
        <v>544</v>
      </c>
      <c r="E131" s="283">
        <f>E130+E109</f>
        <v>0</v>
      </c>
      <c r="F131" s="283">
        <f>F130+F109</f>
        <v>0</v>
      </c>
      <c r="G131" s="283">
        <f>E131-F131</f>
        <v>0</v>
      </c>
    </row>
    <row r="133" spans="1:8" ht="15.75" thickBot="1"/>
    <row r="134" spans="1:8" ht="16.5" thickTop="1" thickBot="1">
      <c r="A134" s="277" t="s">
        <v>556</v>
      </c>
      <c r="B134" s="279" t="s">
        <v>536</v>
      </c>
      <c r="C134" s="280" t="s">
        <v>537</v>
      </c>
      <c r="D134" s="280" t="s">
        <v>538</v>
      </c>
      <c r="E134" s="279" t="s">
        <v>539</v>
      </c>
      <c r="F134" s="279" t="s">
        <v>540</v>
      </c>
      <c r="G134" s="279" t="s">
        <v>541</v>
      </c>
      <c r="H134" s="280" t="s">
        <v>542</v>
      </c>
    </row>
    <row r="135" spans="1:8" ht="15.75" thickTop="1">
      <c r="B135" s="281"/>
      <c r="E135" s="282"/>
      <c r="F135" s="282"/>
      <c r="G135" s="282">
        <f>E135-F135</f>
        <v>0</v>
      </c>
    </row>
    <row r="136" spans="1:8">
      <c r="B136" s="281"/>
      <c r="E136" s="282"/>
      <c r="F136" s="282"/>
      <c r="G136" s="282">
        <f t="shared" ref="G136:G141" si="3">E136-F136+G135</f>
        <v>0</v>
      </c>
    </row>
    <row r="137" spans="1:8">
      <c r="B137" s="281"/>
      <c r="E137" s="282"/>
      <c r="F137" s="282"/>
      <c r="G137" s="282">
        <f t="shared" si="3"/>
        <v>0</v>
      </c>
    </row>
    <row r="138" spans="1:8">
      <c r="B138" s="281"/>
      <c r="E138" s="282"/>
      <c r="F138" s="282"/>
      <c r="G138" s="282">
        <f t="shared" si="3"/>
        <v>0</v>
      </c>
    </row>
    <row r="139" spans="1:8">
      <c r="B139" s="281"/>
      <c r="E139" s="282"/>
      <c r="F139" s="282"/>
      <c r="G139" s="282">
        <f t="shared" si="3"/>
        <v>0</v>
      </c>
    </row>
    <row r="140" spans="1:8">
      <c r="B140" s="281"/>
      <c r="E140" s="282"/>
      <c r="F140" s="282"/>
      <c r="G140" s="282">
        <f t="shared" si="3"/>
        <v>0</v>
      </c>
    </row>
    <row r="141" spans="1:8">
      <c r="B141" s="281"/>
      <c r="E141" s="282"/>
      <c r="F141" s="282"/>
      <c r="G141" s="282">
        <f t="shared" si="3"/>
        <v>0</v>
      </c>
    </row>
    <row r="143" spans="1:8">
      <c r="C143" s="276" t="s">
        <v>543</v>
      </c>
      <c r="E143" s="283">
        <f>SUM(E135:E141)</f>
        <v>0</v>
      </c>
      <c r="F143" s="283">
        <f>SUM(F135:F141)</f>
        <v>0</v>
      </c>
      <c r="G143" s="283">
        <f>E143-F143</f>
        <v>0</v>
      </c>
    </row>
    <row r="144" spans="1:8">
      <c r="C144" s="276" t="s">
        <v>544</v>
      </c>
      <c r="E144" s="283">
        <f>E143+E131</f>
        <v>0</v>
      </c>
      <c r="F144" s="283">
        <f>F143+F131</f>
        <v>0</v>
      </c>
      <c r="G144" s="283">
        <f>E144-F144</f>
        <v>0</v>
      </c>
    </row>
    <row r="146" spans="1:8" ht="15.75" thickBot="1"/>
    <row r="147" spans="1:8" ht="16.5" thickTop="1" thickBot="1">
      <c r="A147" s="277" t="s">
        <v>557</v>
      </c>
      <c r="B147" s="279" t="s">
        <v>536</v>
      </c>
      <c r="C147" s="280" t="s">
        <v>537</v>
      </c>
      <c r="D147" s="280" t="s">
        <v>538</v>
      </c>
      <c r="E147" s="279" t="s">
        <v>539</v>
      </c>
      <c r="F147" s="279" t="s">
        <v>540</v>
      </c>
      <c r="G147" s="279" t="s">
        <v>541</v>
      </c>
      <c r="H147" s="280" t="s">
        <v>542</v>
      </c>
    </row>
    <row r="148" spans="1:8" ht="15.75" thickTop="1">
      <c r="B148" s="281"/>
      <c r="E148" s="282"/>
      <c r="F148" s="282"/>
      <c r="G148" s="282">
        <f>E148-F148</f>
        <v>0</v>
      </c>
    </row>
    <row r="149" spans="1:8">
      <c r="B149" s="281"/>
      <c r="E149" s="282"/>
      <c r="F149" s="282"/>
      <c r="G149" s="282">
        <f>E149-F149+G148</f>
        <v>0</v>
      </c>
    </row>
    <row r="150" spans="1:8">
      <c r="B150" s="281"/>
      <c r="E150" s="282"/>
      <c r="F150" s="282"/>
      <c r="G150" s="282">
        <f>E150-F150+G149</f>
        <v>0</v>
      </c>
    </row>
    <row r="151" spans="1:8">
      <c r="B151" s="281"/>
      <c r="E151" s="282"/>
      <c r="F151" s="282"/>
      <c r="G151" s="282">
        <f>E151-F151+G150</f>
        <v>0</v>
      </c>
    </row>
    <row r="152" spans="1:8">
      <c r="B152" s="281"/>
      <c r="E152" s="282"/>
      <c r="F152" s="282"/>
      <c r="G152" s="282">
        <f>E152-F152+G151</f>
        <v>0</v>
      </c>
    </row>
    <row r="153" spans="1:8">
      <c r="B153" s="281"/>
      <c r="E153" s="282"/>
      <c r="F153" s="282"/>
      <c r="G153" s="282">
        <f>E153-F153+G152</f>
        <v>0</v>
      </c>
    </row>
    <row r="155" spans="1:8">
      <c r="C155" s="276" t="s">
        <v>543</v>
      </c>
      <c r="E155" s="283">
        <f>SUM(E148:E153)</f>
        <v>0</v>
      </c>
      <c r="F155" s="283">
        <f>SUM(F148:F153)</f>
        <v>0</v>
      </c>
      <c r="G155" s="283">
        <f>E155-F155</f>
        <v>0</v>
      </c>
    </row>
    <row r="156" spans="1:8">
      <c r="C156" s="276" t="s">
        <v>544</v>
      </c>
      <c r="E156" s="283">
        <f>E155+E144</f>
        <v>0</v>
      </c>
      <c r="F156" s="283">
        <f>F155+F144</f>
        <v>0</v>
      </c>
      <c r="G156" s="283">
        <f>E156-F156</f>
        <v>0</v>
      </c>
    </row>
    <row r="158" spans="1:8" ht="15.75" thickBot="1"/>
    <row r="159" spans="1:8" ht="16.5" thickTop="1" thickBot="1">
      <c r="A159" s="277" t="s">
        <v>558</v>
      </c>
      <c r="B159" s="279" t="s">
        <v>536</v>
      </c>
      <c r="C159" s="280" t="s">
        <v>537</v>
      </c>
      <c r="D159" s="280" t="s">
        <v>538</v>
      </c>
      <c r="E159" s="279" t="s">
        <v>539</v>
      </c>
      <c r="F159" s="279" t="s">
        <v>540</v>
      </c>
      <c r="G159" s="279" t="s">
        <v>541</v>
      </c>
      <c r="H159" s="280" t="s">
        <v>542</v>
      </c>
    </row>
    <row r="160" spans="1:8" ht="15.75" thickTop="1">
      <c r="B160" s="281"/>
      <c r="E160" s="282"/>
      <c r="F160" s="282"/>
      <c r="G160" s="282">
        <f>E160-F160</f>
        <v>0</v>
      </c>
    </row>
    <row r="162" spans="1:8">
      <c r="C162" s="276" t="s">
        <v>543</v>
      </c>
      <c r="E162" s="283">
        <f>SUM(E160:E160)</f>
        <v>0</v>
      </c>
      <c r="F162" s="283">
        <f>SUM(F160:F160)</f>
        <v>0</v>
      </c>
      <c r="G162" s="283">
        <f>E162-F162</f>
        <v>0</v>
      </c>
    </row>
    <row r="163" spans="1:8">
      <c r="C163" s="276" t="s">
        <v>544</v>
      </c>
      <c r="E163" s="283">
        <f>E162+E156</f>
        <v>0</v>
      </c>
      <c r="F163" s="283">
        <f>F162+F156</f>
        <v>0</v>
      </c>
      <c r="G163" s="283">
        <f>E163-F163</f>
        <v>0</v>
      </c>
    </row>
    <row r="165" spans="1:8" ht="15.75" thickBot="1"/>
    <row r="166" spans="1:8" ht="16.5" thickTop="1" thickBot="1">
      <c r="A166" s="277" t="s">
        <v>559</v>
      </c>
      <c r="B166" s="279" t="s">
        <v>536</v>
      </c>
      <c r="C166" s="280" t="s">
        <v>537</v>
      </c>
      <c r="D166" s="280" t="s">
        <v>538</v>
      </c>
      <c r="E166" s="279" t="s">
        <v>539</v>
      </c>
      <c r="F166" s="279" t="s">
        <v>540</v>
      </c>
      <c r="G166" s="279" t="s">
        <v>541</v>
      </c>
      <c r="H166" s="280" t="s">
        <v>542</v>
      </c>
    </row>
    <row r="167" spans="1:8" ht="15.75" thickTop="1">
      <c r="B167" s="281"/>
      <c r="E167" s="282"/>
      <c r="F167" s="282"/>
      <c r="G167" s="282">
        <f>E167-F167</f>
        <v>0</v>
      </c>
    </row>
    <row r="168" spans="1:8">
      <c r="B168" s="281"/>
      <c r="E168" s="282"/>
      <c r="F168" s="282"/>
      <c r="G168" s="282">
        <f>E168-F168+G167</f>
        <v>0</v>
      </c>
    </row>
    <row r="169" spans="1:8">
      <c r="B169" s="281"/>
      <c r="E169" s="282"/>
      <c r="F169" s="282"/>
      <c r="G169" s="282">
        <f>E169-F169+G168</f>
        <v>0</v>
      </c>
    </row>
    <row r="170" spans="1:8">
      <c r="B170" s="281"/>
      <c r="E170" s="282"/>
      <c r="F170" s="282"/>
      <c r="G170" s="282">
        <f>E170-F170+G169</f>
        <v>0</v>
      </c>
    </row>
    <row r="171" spans="1:8">
      <c r="B171" s="281"/>
      <c r="E171" s="282"/>
      <c r="F171" s="282"/>
      <c r="G171" s="282">
        <f>E171-F171+G170</f>
        <v>0</v>
      </c>
    </row>
    <row r="172" spans="1:8">
      <c r="B172" s="281"/>
      <c r="E172" s="282"/>
      <c r="F172" s="282"/>
      <c r="G172" s="282">
        <f>E172-F172+G171</f>
        <v>0</v>
      </c>
    </row>
    <row r="174" spans="1:8">
      <c r="C174" s="276" t="s">
        <v>543</v>
      </c>
      <c r="E174" s="283">
        <f>SUM(E167:E172)</f>
        <v>0</v>
      </c>
      <c r="F174" s="283">
        <f>SUM(F167:F172)</f>
        <v>0</v>
      </c>
      <c r="G174" s="283">
        <f>E174-F174</f>
        <v>0</v>
      </c>
    </row>
    <row r="175" spans="1:8">
      <c r="C175" s="276" t="s">
        <v>544</v>
      </c>
      <c r="E175" s="283">
        <f>E174+E163</f>
        <v>0</v>
      </c>
      <c r="F175" s="283">
        <f>F174+F163</f>
        <v>0</v>
      </c>
      <c r="G175" s="283">
        <f>E175-F175</f>
        <v>0</v>
      </c>
    </row>
    <row r="177" spans="1:8" ht="15.75" thickBot="1"/>
    <row r="178" spans="1:8" ht="16.5" thickTop="1" thickBot="1">
      <c r="A178" s="277" t="s">
        <v>560</v>
      </c>
      <c r="B178" s="279" t="s">
        <v>536</v>
      </c>
      <c r="C178" s="280" t="s">
        <v>537</v>
      </c>
      <c r="D178" s="280" t="s">
        <v>538</v>
      </c>
      <c r="E178" s="279" t="s">
        <v>539</v>
      </c>
      <c r="F178" s="279" t="s">
        <v>540</v>
      </c>
      <c r="G178" s="279" t="s">
        <v>541</v>
      </c>
      <c r="H178" s="280" t="s">
        <v>542</v>
      </c>
    </row>
    <row r="179" spans="1:8" ht="15.75" thickTop="1">
      <c r="B179" s="281"/>
      <c r="E179" s="282"/>
      <c r="F179" s="282"/>
      <c r="G179" s="282">
        <f>E179-F179</f>
        <v>0</v>
      </c>
    </row>
    <row r="180" spans="1:8">
      <c r="B180" s="281"/>
      <c r="E180" s="282"/>
      <c r="F180" s="282"/>
      <c r="G180" s="282">
        <f t="shared" ref="G180:G185" si="4">E180-F180+G179</f>
        <v>0</v>
      </c>
    </row>
    <row r="181" spans="1:8">
      <c r="B181" s="281"/>
      <c r="E181" s="282"/>
      <c r="F181" s="282"/>
      <c r="G181" s="282">
        <f t="shared" si="4"/>
        <v>0</v>
      </c>
    </row>
    <row r="182" spans="1:8">
      <c r="B182" s="281"/>
      <c r="E182" s="282"/>
      <c r="F182" s="282"/>
      <c r="G182" s="282">
        <f t="shared" si="4"/>
        <v>0</v>
      </c>
    </row>
    <row r="183" spans="1:8">
      <c r="B183" s="281"/>
      <c r="E183" s="282"/>
      <c r="F183" s="282"/>
      <c r="G183" s="282">
        <f t="shared" si="4"/>
        <v>0</v>
      </c>
    </row>
    <row r="184" spans="1:8">
      <c r="B184" s="281"/>
      <c r="E184" s="282"/>
      <c r="F184" s="282"/>
      <c r="G184" s="282">
        <f t="shared" si="4"/>
        <v>0</v>
      </c>
    </row>
    <row r="185" spans="1:8">
      <c r="B185" s="281"/>
      <c r="E185" s="282"/>
      <c r="F185" s="282"/>
      <c r="G185" s="282">
        <f t="shared" si="4"/>
        <v>0</v>
      </c>
    </row>
    <row r="187" spans="1:8">
      <c r="C187" s="276" t="s">
        <v>543</v>
      </c>
      <c r="E187" s="283">
        <f>SUM(E179:E185)</f>
        <v>0</v>
      </c>
      <c r="F187" s="283">
        <f>SUM(F179:F185)</f>
        <v>0</v>
      </c>
      <c r="G187" s="283">
        <f>E187-F187</f>
        <v>0</v>
      </c>
    </row>
    <row r="188" spans="1:8">
      <c r="C188" s="276" t="s">
        <v>544</v>
      </c>
      <c r="E188" s="283">
        <f>E187+E175</f>
        <v>0</v>
      </c>
      <c r="F188" s="283">
        <f>F187+F175</f>
        <v>0</v>
      </c>
      <c r="G188" s="283">
        <f>E188-F188</f>
        <v>0</v>
      </c>
    </row>
    <row r="190" spans="1:8" ht="15.75" thickBot="1"/>
    <row r="191" spans="1:8" ht="16.5" thickTop="1" thickBot="1">
      <c r="A191" s="277" t="s">
        <v>561</v>
      </c>
      <c r="B191" s="279" t="s">
        <v>536</v>
      </c>
      <c r="C191" s="280" t="s">
        <v>537</v>
      </c>
      <c r="D191" s="280" t="s">
        <v>538</v>
      </c>
      <c r="E191" s="279" t="s">
        <v>539</v>
      </c>
      <c r="F191" s="279" t="s">
        <v>540</v>
      </c>
      <c r="G191" s="279" t="s">
        <v>541</v>
      </c>
      <c r="H191" s="280" t="s">
        <v>542</v>
      </c>
    </row>
    <row r="192" spans="1:8" ht="15.75" thickTop="1">
      <c r="B192" s="281"/>
      <c r="E192" s="282"/>
      <c r="F192" s="282"/>
      <c r="G192" s="282">
        <f>E192-F192</f>
        <v>0</v>
      </c>
    </row>
    <row r="193" spans="2:7">
      <c r="B193" s="281"/>
      <c r="E193" s="282"/>
      <c r="F193" s="282"/>
      <c r="G193" s="282">
        <f>E193-F193+G192</f>
        <v>0</v>
      </c>
    </row>
    <row r="195" spans="2:7">
      <c r="C195" s="276" t="s">
        <v>543</v>
      </c>
      <c r="E195" s="283">
        <f>SUM(E192:E193)</f>
        <v>0</v>
      </c>
      <c r="F195" s="283">
        <f>SUM(F192:F193)</f>
        <v>0</v>
      </c>
      <c r="G195" s="283">
        <f>E195-F195</f>
        <v>0</v>
      </c>
    </row>
    <row r="196" spans="2:7">
      <c r="C196" s="276" t="s">
        <v>544</v>
      </c>
      <c r="E196" s="283">
        <f>E195+E188</f>
        <v>0</v>
      </c>
      <c r="F196" s="283">
        <f>F195+F188</f>
        <v>0</v>
      </c>
      <c r="G196" s="283">
        <f>E196-F196</f>
        <v>0</v>
      </c>
    </row>
    <row r="198" spans="2:7">
      <c r="C198" s="276" t="s">
        <v>562</v>
      </c>
      <c r="G198" s="283">
        <f>E196-F196</f>
        <v>0</v>
      </c>
    </row>
  </sheetData>
  <pageMargins left="0.7" right="0.7" top="0.75" bottom="0.75" header="0.3" footer="0.3"/>
  <pageSetup paperSize="9" scale="57" fitToHeight="1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1"/>
  <dimension ref="A1:F15"/>
  <sheetViews>
    <sheetView workbookViewId="0">
      <selection activeCell="E8" sqref="E8"/>
    </sheetView>
  </sheetViews>
  <sheetFormatPr defaultColWidth="11.42578125" defaultRowHeight="12.75"/>
  <cols>
    <col min="1" max="1" width="16.5703125" customWidth="1"/>
    <col min="2" max="2" width="13.42578125" customWidth="1"/>
    <col min="3" max="3" width="12.85546875" customWidth="1"/>
    <col min="4" max="4" width="2.7109375" customWidth="1"/>
    <col min="5" max="5" width="12.140625" customWidth="1"/>
    <col min="6" max="6" width="14.5703125" bestFit="1" customWidth="1"/>
    <col min="7" max="7" width="2.28515625" customWidth="1"/>
  </cols>
  <sheetData>
    <row r="1" spans="1:6" ht="28.5" customHeight="1">
      <c r="C1" s="3" t="s">
        <v>563</v>
      </c>
      <c r="D1" s="3"/>
    </row>
    <row r="3" spans="1:6">
      <c r="B3" s="165" t="s">
        <v>564</v>
      </c>
      <c r="C3" t="s">
        <v>565</v>
      </c>
      <c r="D3" s="52"/>
      <c r="E3" t="s">
        <v>566</v>
      </c>
      <c r="F3" t="s">
        <v>567</v>
      </c>
    </row>
    <row r="4" spans="1:6">
      <c r="A4" t="s">
        <v>280</v>
      </c>
      <c r="B4">
        <v>35</v>
      </c>
      <c r="C4" s="50">
        <f>+B4/B10</f>
        <v>0.26717557251908397</v>
      </c>
      <c r="D4" s="52"/>
      <c r="E4">
        <v>42</v>
      </c>
      <c r="F4" s="50">
        <f>+E4/E10</f>
        <v>0.61764705882352944</v>
      </c>
    </row>
    <row r="5" spans="1:6">
      <c r="A5" t="s">
        <v>281</v>
      </c>
      <c r="B5" s="170">
        <f>42+(24*0.5)</f>
        <v>54</v>
      </c>
      <c r="C5" s="50">
        <f>+B5/B10</f>
        <v>0.41221374045801529</v>
      </c>
      <c r="D5" s="52"/>
      <c r="E5">
        <v>14</v>
      </c>
      <c r="F5" s="50">
        <f>+E5/E10</f>
        <v>0.20588235294117646</v>
      </c>
    </row>
    <row r="6" spans="1:6">
      <c r="A6" t="s">
        <v>282</v>
      </c>
      <c r="B6">
        <v>30</v>
      </c>
      <c r="C6" s="50">
        <f>+B6/B10+0.01</f>
        <v>0.23900763358778626</v>
      </c>
      <c r="D6" s="52"/>
      <c r="E6">
        <v>7</v>
      </c>
      <c r="F6" s="50">
        <f>+E6/E10</f>
        <v>0.10294117647058823</v>
      </c>
    </row>
    <row r="7" spans="1:6">
      <c r="A7" t="s">
        <v>283</v>
      </c>
      <c r="B7">
        <f>24*0.5</f>
        <v>12</v>
      </c>
      <c r="C7" s="50">
        <f>+B7/B10-0.01</f>
        <v>8.1603053435114509E-2</v>
      </c>
      <c r="D7" s="52"/>
      <c r="E7">
        <v>5</v>
      </c>
      <c r="F7" s="50">
        <f>+E7/E10</f>
        <v>7.3529411764705885E-2</v>
      </c>
    </row>
    <row r="8" spans="1:6">
      <c r="A8" t="s">
        <v>284</v>
      </c>
      <c r="C8" s="50"/>
      <c r="D8" s="52"/>
      <c r="F8" s="50"/>
    </row>
    <row r="9" spans="1:6">
      <c r="C9" s="50"/>
      <c r="D9" s="52"/>
      <c r="F9" s="50"/>
    </row>
    <row r="10" spans="1:6">
      <c r="A10" s="51" t="s">
        <v>568</v>
      </c>
      <c r="B10">
        <f>SUM(B4:B9)</f>
        <v>131</v>
      </c>
      <c r="C10" s="50">
        <f>SUM(C4:C9)</f>
        <v>1</v>
      </c>
      <c r="D10" s="52"/>
      <c r="E10">
        <f>SUM(E4:E9)</f>
        <v>68</v>
      </c>
      <c r="F10" s="50">
        <f>SUM(F4:F9)</f>
        <v>0.99999999999999989</v>
      </c>
    </row>
    <row r="12" spans="1:6">
      <c r="C12" s="50"/>
    </row>
    <row r="13" spans="1:6">
      <c r="C13" s="50"/>
    </row>
    <row r="14" spans="1:6">
      <c r="C14" s="50"/>
    </row>
    <row r="15" spans="1:6">
      <c r="C15" s="50"/>
    </row>
  </sheetData>
  <phoneticPr fontId="0" type="noConversion"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41"/>
  <sheetViews>
    <sheetView workbookViewId="0">
      <selection activeCell="I16" sqref="I16"/>
    </sheetView>
  </sheetViews>
  <sheetFormatPr defaultColWidth="11.42578125" defaultRowHeight="12.75"/>
  <cols>
    <col min="1" max="1" width="4" bestFit="1" customWidth="1"/>
    <col min="2" max="2" width="23" bestFit="1" customWidth="1"/>
    <col min="3" max="3" width="12.7109375" customWidth="1"/>
    <col min="4" max="4" width="14.85546875" bestFit="1" customWidth="1"/>
    <col min="5" max="5" width="16.140625" customWidth="1"/>
    <col min="6" max="6" width="12.85546875" customWidth="1"/>
    <col min="7" max="7" width="5.85546875" customWidth="1"/>
    <col min="8" max="8" width="2" customWidth="1"/>
    <col min="9" max="9" width="20.42578125" customWidth="1"/>
    <col min="10" max="11" width="13.140625" bestFit="1" customWidth="1"/>
    <col min="12" max="12" width="22.7109375" bestFit="1" customWidth="1"/>
    <col min="13" max="14" width="13.85546875" bestFit="1" customWidth="1"/>
    <col min="15" max="16" width="18.28515625" bestFit="1" customWidth="1"/>
    <col min="17" max="17" width="19.85546875" bestFit="1" customWidth="1"/>
  </cols>
  <sheetData>
    <row r="1" spans="1:17" ht="43.5" customHeight="1">
      <c r="A1" s="331"/>
      <c r="B1" s="188"/>
      <c r="C1" s="333" t="s">
        <v>569</v>
      </c>
      <c r="D1" s="334"/>
      <c r="E1" s="334"/>
      <c r="F1" s="49">
        <v>2019</v>
      </c>
      <c r="G1" s="314">
        <v>0.12</v>
      </c>
    </row>
    <row r="2" spans="1:17" ht="38.25">
      <c r="A2" s="332"/>
      <c r="B2" s="189"/>
      <c r="C2" s="190" t="s">
        <v>570</v>
      </c>
      <c r="D2" s="191" t="s">
        <v>571</v>
      </c>
      <c r="E2" s="191" t="s">
        <v>572</v>
      </c>
      <c r="H2" s="335" t="s">
        <v>573</v>
      </c>
      <c r="I2" s="336"/>
      <c r="J2" s="336"/>
      <c r="K2" s="336"/>
      <c r="L2" s="336"/>
      <c r="M2" s="336"/>
      <c r="N2" s="336"/>
      <c r="O2" s="336"/>
      <c r="P2" s="336"/>
      <c r="Q2" s="336"/>
    </row>
    <row r="3" spans="1:17">
      <c r="A3" s="192">
        <v>0</v>
      </c>
      <c r="B3" s="192" t="s">
        <v>574</v>
      </c>
      <c r="C3" s="193">
        <f>(1630.19+494.07)*(1+$G$1)</f>
        <v>2379.1712000000007</v>
      </c>
      <c r="D3" s="194">
        <v>60.314999999999998</v>
      </c>
      <c r="E3" s="194"/>
      <c r="H3" s="195"/>
      <c r="I3" s="196"/>
      <c r="J3" s="197"/>
      <c r="K3" s="197"/>
      <c r="L3" s="197"/>
      <c r="M3" s="197"/>
      <c r="N3" s="197"/>
      <c r="O3" s="197"/>
      <c r="P3" s="197"/>
      <c r="Q3" s="197"/>
    </row>
    <row r="4" spans="1:17">
      <c r="A4" s="192">
        <v>1</v>
      </c>
      <c r="B4" s="192" t="s">
        <v>575</v>
      </c>
      <c r="C4" s="193">
        <f>1339.85*(1+$G$1)</f>
        <v>1500.6320000000001</v>
      </c>
      <c r="D4" s="194">
        <f>49.58*(1+$G$1)</f>
        <v>55.529600000000002</v>
      </c>
      <c r="E4" s="194">
        <f>2.72*(1+$G$1)</f>
        <v>3.0464000000000007</v>
      </c>
      <c r="H4" s="198"/>
      <c r="I4" s="199"/>
      <c r="J4" s="86" t="s">
        <v>576</v>
      </c>
      <c r="K4" s="86" t="s">
        <v>577</v>
      </c>
      <c r="L4" s="86" t="s">
        <v>578</v>
      </c>
      <c r="M4" s="86" t="s">
        <v>579</v>
      </c>
      <c r="N4" s="86" t="s">
        <v>580</v>
      </c>
      <c r="O4" s="86" t="s">
        <v>581</v>
      </c>
      <c r="P4" s="86" t="s">
        <v>582</v>
      </c>
      <c r="Q4" s="86" t="s">
        <v>583</v>
      </c>
    </row>
    <row r="5" spans="1:17">
      <c r="A5" s="192">
        <v>2</v>
      </c>
      <c r="B5" s="192" t="s">
        <v>584</v>
      </c>
      <c r="C5" s="194">
        <f>+(1+$G$1)*1255.95</f>
        <v>1406.6640000000002</v>
      </c>
      <c r="D5" s="194">
        <f>46.47*(1+$G$1)</f>
        <v>52.046400000000006</v>
      </c>
      <c r="E5" s="194">
        <f>2.55*(1+$G$1)</f>
        <v>2.8559999999999999</v>
      </c>
      <c r="H5" s="200">
        <v>1</v>
      </c>
      <c r="I5" s="200" t="s">
        <v>585</v>
      </c>
      <c r="J5" s="201">
        <v>0.23599999999999999</v>
      </c>
      <c r="K5" s="201">
        <v>0.23599999999999999</v>
      </c>
      <c r="L5" s="201">
        <v>0.23599999999999999</v>
      </c>
      <c r="M5" s="201">
        <v>0.23599999999999999</v>
      </c>
      <c r="N5" s="201">
        <v>0.23599999999999999</v>
      </c>
      <c r="O5" s="201">
        <v>0.23599999999999999</v>
      </c>
      <c r="P5" s="201">
        <v>0.23599999999999999</v>
      </c>
      <c r="Q5" s="201">
        <v>0.23599999999999999</v>
      </c>
    </row>
    <row r="6" spans="1:17">
      <c r="A6" s="192">
        <v>3</v>
      </c>
      <c r="B6" s="192" t="s">
        <v>586</v>
      </c>
      <c r="C6" s="194">
        <f>993.59*(1+$G$1)</f>
        <v>1112.8208000000002</v>
      </c>
      <c r="D6" s="194">
        <f>36.76*(1+$G$1)</f>
        <v>41.171199999999999</v>
      </c>
      <c r="E6" s="194">
        <f>2.01*(1+$G$1)</f>
        <v>2.2511999999999999</v>
      </c>
      <c r="H6" s="200">
        <v>2</v>
      </c>
      <c r="I6" s="200" t="s">
        <v>587</v>
      </c>
      <c r="J6" s="202">
        <v>6.3E-2</v>
      </c>
      <c r="K6" s="202">
        <v>6.3E-2</v>
      </c>
      <c r="L6" s="202">
        <v>6.3E-2</v>
      </c>
      <c r="M6" s="203">
        <v>6.3E-2</v>
      </c>
      <c r="N6" s="203">
        <v>6.3E-2</v>
      </c>
      <c r="O6" s="201">
        <v>7.4999999999999997E-2</v>
      </c>
      <c r="P6" s="203">
        <v>7.4999999999999997E-2</v>
      </c>
      <c r="Q6" s="203">
        <v>7.4999999999999997E-2</v>
      </c>
    </row>
    <row r="7" spans="1:17">
      <c r="A7" s="192">
        <v>4</v>
      </c>
      <c r="B7" s="192" t="s">
        <v>588</v>
      </c>
      <c r="C7" s="194">
        <f>993.59*(1+$G$1)</f>
        <v>1112.8208000000002</v>
      </c>
      <c r="D7" s="194">
        <f>36.76*(1+$G$1)</f>
        <v>41.171199999999999</v>
      </c>
      <c r="E7" s="194">
        <f>2.01*(1+$G$1)</f>
        <v>2.2511999999999999</v>
      </c>
      <c r="H7" s="200">
        <v>3</v>
      </c>
      <c r="I7" s="200" t="s">
        <v>589</v>
      </c>
      <c r="J7" s="202">
        <v>1.4999999999999999E-2</v>
      </c>
      <c r="K7" s="202">
        <v>1.4999999999999999E-2</v>
      </c>
      <c r="L7" s="201">
        <v>1.4999999999999999E-2</v>
      </c>
      <c r="M7" s="203">
        <v>1.4999999999999999E-2</v>
      </c>
      <c r="N7" s="202">
        <v>1.4999999999999999E-2</v>
      </c>
      <c r="O7" s="201">
        <v>1.4999999999999999E-2</v>
      </c>
      <c r="P7" s="203">
        <v>1.4999999999999999E-2</v>
      </c>
      <c r="Q7" s="203">
        <v>1.4999999999999999E-2</v>
      </c>
    </row>
    <row r="8" spans="1:17">
      <c r="A8" s="192">
        <v>5</v>
      </c>
      <c r="B8" s="192" t="s">
        <v>590</v>
      </c>
      <c r="C8" s="194">
        <f>1674.84*(1+$G$1)</f>
        <v>1875.8208000000002</v>
      </c>
      <c r="D8" s="194">
        <f>61.97*(1+$G$1)</f>
        <v>69.406400000000005</v>
      </c>
      <c r="E8" s="194">
        <f>3.38*(1+$G$1)</f>
        <v>3.7856000000000001</v>
      </c>
      <c r="H8" s="200">
        <v>4</v>
      </c>
      <c r="I8" s="200" t="s">
        <v>591</v>
      </c>
      <c r="J8" s="202">
        <v>0.01</v>
      </c>
      <c r="K8" s="202"/>
      <c r="L8" s="201"/>
      <c r="M8" s="203"/>
      <c r="N8" s="202"/>
      <c r="O8" s="201"/>
      <c r="P8" s="203"/>
      <c r="Q8" s="203"/>
    </row>
    <row r="9" spans="1:17">
      <c r="A9" s="192">
        <v>6</v>
      </c>
      <c r="B9" s="192" t="s">
        <v>592</v>
      </c>
      <c r="C9" s="194">
        <f>1674.84*(1+$G$1)</f>
        <v>1875.8208000000002</v>
      </c>
      <c r="D9" s="194">
        <f t="shared" ref="D9:D12" si="0">61.97*(1+$G$1)</f>
        <v>69.406400000000005</v>
      </c>
      <c r="E9" s="194">
        <f t="shared" ref="E9:E12" si="1">3.38*(1+$G$1)</f>
        <v>3.7856000000000001</v>
      </c>
      <c r="H9" s="200">
        <v>5</v>
      </c>
      <c r="I9" s="200" t="s">
        <v>593</v>
      </c>
      <c r="J9" s="202">
        <v>3.5999999999999997E-2</v>
      </c>
      <c r="K9" s="202"/>
      <c r="L9" s="201"/>
      <c r="M9" s="203"/>
      <c r="N9" s="202"/>
      <c r="O9" s="201"/>
      <c r="P9" s="203"/>
      <c r="Q9" s="203"/>
    </row>
    <row r="10" spans="1:17">
      <c r="A10" s="192">
        <v>7</v>
      </c>
      <c r="B10" s="192" t="s">
        <v>594</v>
      </c>
      <c r="C10" s="194">
        <f>1674.84*(1+$G$1)</f>
        <v>1875.8208000000002</v>
      </c>
      <c r="D10" s="194">
        <f t="shared" si="0"/>
        <v>69.406400000000005</v>
      </c>
      <c r="E10" s="194">
        <f t="shared" si="1"/>
        <v>3.7856000000000001</v>
      </c>
    </row>
    <row r="11" spans="1:17">
      <c r="A11" s="192">
        <v>8</v>
      </c>
      <c r="B11" s="192" t="s">
        <v>595</v>
      </c>
      <c r="C11" s="194">
        <f t="shared" ref="C11:C12" si="2">1674.84*(1+$G$1)</f>
        <v>1875.8208000000002</v>
      </c>
      <c r="D11" s="194">
        <f t="shared" si="0"/>
        <v>69.406400000000005</v>
      </c>
      <c r="E11" s="194">
        <f t="shared" si="1"/>
        <v>3.7856000000000001</v>
      </c>
    </row>
    <row r="12" spans="1:17">
      <c r="A12" s="192">
        <v>9</v>
      </c>
      <c r="B12" s="192" t="s">
        <v>596</v>
      </c>
      <c r="C12" s="194">
        <f t="shared" si="2"/>
        <v>1875.8208000000002</v>
      </c>
      <c r="D12" s="194">
        <f t="shared" si="0"/>
        <v>69.406400000000005</v>
      </c>
      <c r="E12" s="194">
        <f t="shared" si="1"/>
        <v>3.7856000000000001</v>
      </c>
      <c r="H12" s="321" t="s">
        <v>597</v>
      </c>
      <c r="I12" s="337"/>
      <c r="J12" s="322"/>
    </row>
    <row r="13" spans="1:17">
      <c r="A13" s="192">
        <v>10</v>
      </c>
      <c r="B13" s="192" t="s">
        <v>598</v>
      </c>
      <c r="C13" s="194">
        <f>1233.56*(1+$G$1)</f>
        <v>1381.5872000000002</v>
      </c>
      <c r="D13" s="194">
        <f>45.64*(1+$G$1)</f>
        <v>51.116800000000005</v>
      </c>
      <c r="E13" s="194">
        <f>2.49*(1+$G$1)</f>
        <v>2.7888000000000006</v>
      </c>
      <c r="H13" s="200">
        <v>1</v>
      </c>
      <c r="I13" s="200" t="s">
        <v>599</v>
      </c>
      <c r="J13" s="194">
        <v>276.66000000000003</v>
      </c>
    </row>
    <row r="14" spans="1:17">
      <c r="A14" s="192">
        <v>11</v>
      </c>
      <c r="B14" s="192" t="s">
        <v>600</v>
      </c>
      <c r="C14" s="194">
        <f t="shared" ref="C14:C20" si="3">1233.56*(1+$G$1)</f>
        <v>1381.5872000000002</v>
      </c>
      <c r="D14" s="194">
        <f t="shared" ref="D14:D20" si="4">45.64*(1+$G$1)</f>
        <v>51.116800000000005</v>
      </c>
      <c r="E14" s="194">
        <f t="shared" ref="E14:E20" si="5">2.49*(1+$G$1)</f>
        <v>2.7888000000000006</v>
      </c>
      <c r="H14" s="200">
        <v>2</v>
      </c>
      <c r="I14" s="200" t="s">
        <v>601</v>
      </c>
      <c r="J14" s="194">
        <v>494.07</v>
      </c>
    </row>
    <row r="15" spans="1:17">
      <c r="A15" s="192">
        <v>12</v>
      </c>
      <c r="B15" s="192" t="s">
        <v>602</v>
      </c>
      <c r="C15" s="194">
        <f t="shared" si="3"/>
        <v>1381.5872000000002</v>
      </c>
      <c r="D15" s="194">
        <f t="shared" si="4"/>
        <v>51.116800000000005</v>
      </c>
      <c r="E15" s="194">
        <f t="shared" si="5"/>
        <v>2.7888000000000006</v>
      </c>
      <c r="H15" s="200">
        <v>3</v>
      </c>
      <c r="I15" s="200" t="s">
        <v>603</v>
      </c>
      <c r="J15" s="194">
        <v>64.278999999999996</v>
      </c>
    </row>
    <row r="16" spans="1:17">
      <c r="A16" s="192">
        <v>13</v>
      </c>
      <c r="B16" s="192" t="s">
        <v>604</v>
      </c>
      <c r="C16" s="194">
        <f t="shared" si="3"/>
        <v>1381.5872000000002</v>
      </c>
      <c r="D16" s="194">
        <f t="shared" si="4"/>
        <v>51.116800000000005</v>
      </c>
      <c r="E16" s="194">
        <f t="shared" si="5"/>
        <v>2.7888000000000006</v>
      </c>
      <c r="H16" s="200">
        <v>4</v>
      </c>
      <c r="I16" s="200" t="s">
        <v>605</v>
      </c>
      <c r="J16" s="194">
        <v>154.56</v>
      </c>
    </row>
    <row r="17" spans="1:10">
      <c r="A17" s="192">
        <v>14</v>
      </c>
      <c r="B17" s="192" t="s">
        <v>606</v>
      </c>
      <c r="C17" s="194">
        <f t="shared" si="3"/>
        <v>1381.5872000000002</v>
      </c>
      <c r="D17" s="194">
        <f t="shared" si="4"/>
        <v>51.116800000000005</v>
      </c>
      <c r="E17" s="194">
        <f t="shared" si="5"/>
        <v>2.7888000000000006</v>
      </c>
      <c r="H17" s="200">
        <v>5</v>
      </c>
      <c r="I17" s="200" t="s">
        <v>607</v>
      </c>
      <c r="J17" s="194">
        <v>150</v>
      </c>
    </row>
    <row r="18" spans="1:10">
      <c r="A18" s="192">
        <v>15</v>
      </c>
      <c r="B18" s="192" t="s">
        <v>608</v>
      </c>
      <c r="C18" s="194">
        <f t="shared" si="3"/>
        <v>1381.5872000000002</v>
      </c>
      <c r="D18" s="194">
        <f t="shared" si="4"/>
        <v>51.116800000000005</v>
      </c>
      <c r="E18" s="194">
        <f t="shared" si="5"/>
        <v>2.7888000000000006</v>
      </c>
      <c r="H18" s="200">
        <v>6</v>
      </c>
      <c r="I18" s="200" t="s">
        <v>609</v>
      </c>
      <c r="J18" s="194">
        <v>90</v>
      </c>
    </row>
    <row r="19" spans="1:10">
      <c r="A19" s="192">
        <v>16</v>
      </c>
      <c r="B19" s="192" t="s">
        <v>610</v>
      </c>
      <c r="C19" s="194">
        <f t="shared" si="3"/>
        <v>1381.5872000000002</v>
      </c>
      <c r="D19" s="194">
        <f t="shared" si="4"/>
        <v>51.116800000000005</v>
      </c>
      <c r="E19" s="194">
        <f t="shared" si="5"/>
        <v>2.7888000000000006</v>
      </c>
    </row>
    <row r="20" spans="1:10">
      <c r="A20" s="192">
        <v>17</v>
      </c>
      <c r="B20" s="192" t="s">
        <v>611</v>
      </c>
      <c r="C20" s="194">
        <f t="shared" si="3"/>
        <v>1381.5872000000002</v>
      </c>
      <c r="D20" s="194">
        <f t="shared" si="4"/>
        <v>51.116800000000005</v>
      </c>
      <c r="E20" s="194">
        <f t="shared" si="5"/>
        <v>2.7888000000000006</v>
      </c>
      <c r="I20" s="200" t="s">
        <v>612</v>
      </c>
      <c r="J20" s="194">
        <v>4</v>
      </c>
    </row>
    <row r="21" spans="1:10">
      <c r="A21" s="192">
        <v>18</v>
      </c>
      <c r="B21" s="192" t="s">
        <v>613</v>
      </c>
      <c r="C21" s="194">
        <f>1157.29*(1+$G$1)</f>
        <v>1296.1648</v>
      </c>
      <c r="D21" s="194">
        <f>42.82*(1+$G$1)</f>
        <v>47.958400000000005</v>
      </c>
      <c r="E21" s="194">
        <f>2.34*(1+$G$1)</f>
        <v>2.6208</v>
      </c>
    </row>
    <row r="22" spans="1:10">
      <c r="A22" s="192">
        <v>19</v>
      </c>
      <c r="B22" s="192" t="s">
        <v>614</v>
      </c>
      <c r="C22" s="194">
        <f>1144.6*(1+$G$1)</f>
        <v>1281.952</v>
      </c>
      <c r="D22" s="194">
        <f>42.36*(1+$G$1)</f>
        <v>47.443200000000004</v>
      </c>
      <c r="E22" s="194">
        <f>2.32*(1+$G$1)</f>
        <v>2.5984000000000003</v>
      </c>
    </row>
    <row r="23" spans="1:10">
      <c r="A23" s="204" t="s">
        <v>615</v>
      </c>
      <c r="B23" s="204" t="s">
        <v>616</v>
      </c>
      <c r="C23" s="205">
        <f>1062.36*1.01*(1+$G$1)</f>
        <v>1201.741632</v>
      </c>
      <c r="D23" s="205">
        <f>39.41*1.01*(1+$G$1)</f>
        <v>44.580592000000003</v>
      </c>
      <c r="E23" s="205"/>
    </row>
    <row r="24" spans="1:10">
      <c r="A24" s="192">
        <v>20</v>
      </c>
      <c r="B24" s="192" t="s">
        <v>617</v>
      </c>
      <c r="C24" s="194">
        <f>1157.29*(1+$G$1)</f>
        <v>1296.1648</v>
      </c>
      <c r="D24" s="194">
        <f>42.82*(1+$G$1)</f>
        <v>47.958400000000005</v>
      </c>
      <c r="E24" s="194">
        <f>2.34*(1+$G$1)</f>
        <v>2.6208</v>
      </c>
    </row>
    <row r="25" spans="1:10">
      <c r="A25" s="192">
        <v>21</v>
      </c>
      <c r="B25" s="192" t="s">
        <v>618</v>
      </c>
      <c r="C25" s="194">
        <f t="shared" ref="C25:C27" si="6">1157.29*(1+$G$1)</f>
        <v>1296.1648</v>
      </c>
      <c r="D25" s="194">
        <f t="shared" ref="D25:D27" si="7">42.82*(1+$G$1)</f>
        <v>47.958400000000005</v>
      </c>
      <c r="E25" s="194">
        <f t="shared" ref="E25:E27" si="8">2.34*(1+$G$1)</f>
        <v>2.6208</v>
      </c>
    </row>
    <row r="26" spans="1:10">
      <c r="A26" s="192">
        <v>22</v>
      </c>
      <c r="B26" s="192" t="s">
        <v>619</v>
      </c>
      <c r="C26" s="194">
        <f t="shared" si="6"/>
        <v>1296.1648</v>
      </c>
      <c r="D26" s="194">
        <f t="shared" si="7"/>
        <v>47.958400000000005</v>
      </c>
      <c r="E26" s="194">
        <f t="shared" si="8"/>
        <v>2.6208</v>
      </c>
    </row>
    <row r="27" spans="1:10">
      <c r="A27" s="192">
        <v>23</v>
      </c>
      <c r="B27" s="192" t="s">
        <v>620</v>
      </c>
      <c r="C27" s="194">
        <f t="shared" si="6"/>
        <v>1296.1648</v>
      </c>
      <c r="D27" s="194">
        <f t="shared" si="7"/>
        <v>47.958400000000005</v>
      </c>
      <c r="E27" s="194">
        <f t="shared" si="8"/>
        <v>2.6208</v>
      </c>
    </row>
    <row r="28" spans="1:10">
      <c r="A28" s="192">
        <v>24</v>
      </c>
      <c r="B28" s="192" t="s">
        <v>267</v>
      </c>
      <c r="C28" s="194">
        <f>911.49*(1+$G$1)</f>
        <v>1020.8688000000001</v>
      </c>
      <c r="D28" s="194">
        <f>33.72*(1+$G$1)</f>
        <v>37.766400000000004</v>
      </c>
      <c r="E28" s="194">
        <f>1.85*(1+$G$1)</f>
        <v>2.0720000000000005</v>
      </c>
    </row>
    <row r="29" spans="1:10">
      <c r="A29" s="192">
        <v>25</v>
      </c>
      <c r="B29" s="192" t="s">
        <v>621</v>
      </c>
      <c r="C29" s="194">
        <f t="shared" ref="C29:C30" si="9">911.49*(1+$G$1)</f>
        <v>1020.8688000000001</v>
      </c>
      <c r="D29" s="194">
        <f t="shared" ref="D29:D30" si="10">33.72*(1+$G$1)</f>
        <v>37.766400000000004</v>
      </c>
      <c r="E29" s="194">
        <f t="shared" ref="E29:E30" si="11">1.85*(1+$G$1)</f>
        <v>2.0720000000000005</v>
      </c>
    </row>
    <row r="30" spans="1:10">
      <c r="A30" s="192">
        <v>26</v>
      </c>
      <c r="B30" s="192" t="s">
        <v>622</v>
      </c>
      <c r="C30" s="194">
        <f t="shared" si="9"/>
        <v>1020.8688000000001</v>
      </c>
      <c r="D30" s="194">
        <f t="shared" si="10"/>
        <v>37.766400000000004</v>
      </c>
      <c r="E30" s="194">
        <f t="shared" si="11"/>
        <v>2.0720000000000005</v>
      </c>
    </row>
    <row r="31" spans="1:10">
      <c r="A31" s="192">
        <v>27</v>
      </c>
      <c r="B31" s="192" t="s">
        <v>623</v>
      </c>
      <c r="C31" s="194">
        <f>1198.47*(1+$G$1)</f>
        <v>1342.2864000000002</v>
      </c>
      <c r="D31" s="194">
        <f>44.34*(1+$G$1)</f>
        <v>49.660800000000009</v>
      </c>
      <c r="E31" s="194">
        <f>2.42*(1+$G$1)</f>
        <v>2.7104000000000004</v>
      </c>
    </row>
    <row r="32" spans="1:10">
      <c r="A32" s="192">
        <v>28</v>
      </c>
      <c r="B32" s="192" t="s">
        <v>624</v>
      </c>
      <c r="C32" s="194">
        <f>899.82*(1+$G$1)</f>
        <v>1007.7984000000001</v>
      </c>
      <c r="D32" s="194">
        <f>33.3*(1+$G$1)</f>
        <v>37.295999999999999</v>
      </c>
      <c r="E32" s="194">
        <f>1.82*(1+$G$1)</f>
        <v>2.0384000000000002</v>
      </c>
    </row>
    <row r="33" spans="1:5">
      <c r="A33" s="192">
        <v>29</v>
      </c>
      <c r="B33" s="192" t="s">
        <v>625</v>
      </c>
      <c r="C33" s="194">
        <f>860.7*(1+$G$1)</f>
        <v>963.98400000000015</v>
      </c>
      <c r="D33" s="194">
        <f>31.85*(1+$G$1)</f>
        <v>35.672000000000004</v>
      </c>
      <c r="E33" s="194">
        <f>1.75*(1+$G$1)</f>
        <v>1.9600000000000002</v>
      </c>
    </row>
    <row r="34" spans="1:5">
      <c r="A34" s="192">
        <v>30</v>
      </c>
      <c r="B34" s="192" t="s">
        <v>626</v>
      </c>
      <c r="C34" s="194">
        <f>805.04*(1+$G$1)</f>
        <v>901.64480000000003</v>
      </c>
      <c r="D34" s="194">
        <f>29.78*(1+$G$1)</f>
        <v>33.353600000000007</v>
      </c>
      <c r="E34" s="194">
        <f>1.63*(1+$G$1)</f>
        <v>1.8256000000000001</v>
      </c>
    </row>
    <row r="35" spans="1:5">
      <c r="A35" s="192">
        <v>31</v>
      </c>
      <c r="B35" s="192" t="s">
        <v>627</v>
      </c>
      <c r="C35" s="194">
        <f>906.18*(1+$G$1)</f>
        <v>1014.9216</v>
      </c>
      <c r="D35" s="194">
        <f>33.53*(1+$G$1)</f>
        <v>37.553600000000003</v>
      </c>
      <c r="E35" s="194">
        <f>1.84*(1+$G$1)</f>
        <v>2.0608000000000004</v>
      </c>
    </row>
    <row r="36" spans="1:5">
      <c r="A36" s="192">
        <v>32</v>
      </c>
      <c r="B36" s="192" t="s">
        <v>628</v>
      </c>
      <c r="C36" s="194">
        <f>853.25*(1+$G$1)</f>
        <v>955.6400000000001</v>
      </c>
      <c r="D36" s="194">
        <f>31.57*(1+$G$1)</f>
        <v>35.358400000000003</v>
      </c>
      <c r="E36" s="194">
        <f>1.73*(1+$G$1)</f>
        <v>1.9376000000000002</v>
      </c>
    </row>
    <row r="37" spans="1:5">
      <c r="A37" s="192">
        <v>33</v>
      </c>
      <c r="B37" s="192" t="s">
        <v>629</v>
      </c>
      <c r="C37" s="194">
        <f>853.25*(1+$G$1)</f>
        <v>955.6400000000001</v>
      </c>
      <c r="D37" s="194">
        <f>31.57*(1+$G$1)</f>
        <v>35.358400000000003</v>
      </c>
      <c r="E37" s="194">
        <f>1.73*(1+$G$1)</f>
        <v>1.9376000000000002</v>
      </c>
    </row>
    <row r="38" spans="1:5">
      <c r="A38" s="192">
        <v>34</v>
      </c>
      <c r="B38" s="192" t="s">
        <v>630</v>
      </c>
      <c r="C38" s="194">
        <f>744.65*(1+$G$1)</f>
        <v>834.00800000000004</v>
      </c>
      <c r="D38" s="194">
        <f>27.55*(1+$G$1)</f>
        <v>30.856000000000005</v>
      </c>
      <c r="E38" s="194">
        <f>1.5*(1+$G$1)</f>
        <v>1.6800000000000002</v>
      </c>
    </row>
    <row r="39" spans="1:5">
      <c r="A39" s="192">
        <v>35</v>
      </c>
      <c r="B39" s="192" t="s">
        <v>631</v>
      </c>
      <c r="C39" s="194">
        <f>853.25*(1+$G$1)</f>
        <v>955.6400000000001</v>
      </c>
      <c r="D39" s="194">
        <f>31.57*(1+$G$1)</f>
        <v>35.358400000000003</v>
      </c>
      <c r="E39" s="194">
        <f>1.73*(1+$G$1)</f>
        <v>1.9376000000000002</v>
      </c>
    </row>
    <row r="40" spans="1:5">
      <c r="A40" s="192">
        <v>36</v>
      </c>
      <c r="B40" s="192" t="s">
        <v>632</v>
      </c>
      <c r="C40" s="194">
        <f>808.6*(1+$G$1)</f>
        <v>905.63200000000006</v>
      </c>
      <c r="D40" s="194">
        <f>29.92*(1+$G$1)</f>
        <v>33.510400000000004</v>
      </c>
      <c r="E40" s="194">
        <f>1.63*(1+$G$1)</f>
        <v>1.8256000000000001</v>
      </c>
    </row>
    <row r="41" spans="1:5">
      <c r="A41" s="192">
        <v>37</v>
      </c>
      <c r="B41" s="192" t="s">
        <v>633</v>
      </c>
      <c r="C41" s="194">
        <f>723.38*(1+$G$1)</f>
        <v>810.18560000000002</v>
      </c>
      <c r="D41" s="194">
        <f>26.77*(1+$G$1)</f>
        <v>29.982400000000002</v>
      </c>
      <c r="E41" s="194">
        <f>1.46*(1+$G$1)</f>
        <v>1.6352000000000002</v>
      </c>
    </row>
  </sheetData>
  <mergeCells count="4">
    <mergeCell ref="A1:A2"/>
    <mergeCell ref="C1:E1"/>
    <mergeCell ref="H2:Q2"/>
    <mergeCell ref="H12:J12"/>
  </mergeCells>
  <dataValidations count="1">
    <dataValidation allowBlank="1" showInputMessage="1" showErrorMessage="1" errorTitle="Selección erronea" error="Selecciona una categoría de la lista" sqref="A4:B41" xr:uid="{00000000-0002-0000-1000-000000000000}"/>
  </dataValidations>
  <pageMargins left="0.7" right="0.7" top="0.75" bottom="0.75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M21"/>
  <sheetViews>
    <sheetView workbookViewId="0">
      <selection activeCell="E8" sqref="E8"/>
    </sheetView>
  </sheetViews>
  <sheetFormatPr defaultColWidth="11.42578125" defaultRowHeight="15"/>
  <cols>
    <col min="1" max="1" width="32.85546875" style="99" bestFit="1" customWidth="1"/>
    <col min="2" max="3" width="11.42578125" style="99"/>
    <col min="4" max="4" width="8" style="99" customWidth="1"/>
    <col min="5" max="6" width="11.42578125" style="99"/>
    <col min="7" max="7" width="7.85546875" style="99" bestFit="1" customWidth="1"/>
    <col min="8" max="8" width="13" style="99" customWidth="1"/>
    <col min="9" max="9" width="14.5703125" style="99" customWidth="1"/>
    <col min="10" max="10" width="7.85546875" style="99" bestFit="1" customWidth="1"/>
    <col min="11" max="11" width="13" style="99" customWidth="1"/>
    <col min="12" max="12" width="14.5703125" style="99" customWidth="1"/>
    <col min="13" max="13" width="7.85546875" style="99" bestFit="1" customWidth="1"/>
    <col min="14" max="16" width="11.42578125" style="99"/>
    <col min="17" max="17" width="12.140625" style="99" customWidth="1"/>
    <col min="18" max="262" width="11.42578125" style="99"/>
    <col min="263" max="263" width="31" style="99" bestFit="1" customWidth="1"/>
    <col min="264" max="267" width="11.42578125" style="99"/>
    <col min="268" max="269" width="13" style="99" customWidth="1"/>
    <col min="270" max="272" width="11.42578125" style="99"/>
    <col min="273" max="273" width="12.140625" style="99" customWidth="1"/>
    <col min="274" max="518" width="11.42578125" style="99"/>
    <col min="519" max="519" width="31" style="99" bestFit="1" customWidth="1"/>
    <col min="520" max="523" width="11.42578125" style="99"/>
    <col min="524" max="525" width="13" style="99" customWidth="1"/>
    <col min="526" max="528" width="11.42578125" style="99"/>
    <col min="529" max="529" width="12.140625" style="99" customWidth="1"/>
    <col min="530" max="774" width="11.42578125" style="99"/>
    <col min="775" max="775" width="31" style="99" bestFit="1" customWidth="1"/>
    <col min="776" max="779" width="11.42578125" style="99"/>
    <col min="780" max="781" width="13" style="99" customWidth="1"/>
    <col min="782" max="784" width="11.42578125" style="99"/>
    <col min="785" max="785" width="12.140625" style="99" customWidth="1"/>
    <col min="786" max="1030" width="11.42578125" style="99"/>
    <col min="1031" max="1031" width="31" style="99" bestFit="1" customWidth="1"/>
    <col min="1032" max="1035" width="11.42578125" style="99"/>
    <col min="1036" max="1037" width="13" style="99" customWidth="1"/>
    <col min="1038" max="1040" width="11.42578125" style="99"/>
    <col min="1041" max="1041" width="12.140625" style="99" customWidth="1"/>
    <col min="1042" max="1286" width="11.42578125" style="99"/>
    <col min="1287" max="1287" width="31" style="99" bestFit="1" customWidth="1"/>
    <col min="1288" max="1291" width="11.42578125" style="99"/>
    <col min="1292" max="1293" width="13" style="99" customWidth="1"/>
    <col min="1294" max="1296" width="11.42578125" style="99"/>
    <col min="1297" max="1297" width="12.140625" style="99" customWidth="1"/>
    <col min="1298" max="1542" width="11.42578125" style="99"/>
    <col min="1543" max="1543" width="31" style="99" bestFit="1" customWidth="1"/>
    <col min="1544" max="1547" width="11.42578125" style="99"/>
    <col min="1548" max="1549" width="13" style="99" customWidth="1"/>
    <col min="1550" max="1552" width="11.42578125" style="99"/>
    <col min="1553" max="1553" width="12.140625" style="99" customWidth="1"/>
    <col min="1554" max="1798" width="11.42578125" style="99"/>
    <col min="1799" max="1799" width="31" style="99" bestFit="1" customWidth="1"/>
    <col min="1800" max="1803" width="11.42578125" style="99"/>
    <col min="1804" max="1805" width="13" style="99" customWidth="1"/>
    <col min="1806" max="1808" width="11.42578125" style="99"/>
    <col min="1809" max="1809" width="12.140625" style="99" customWidth="1"/>
    <col min="1810" max="2054" width="11.42578125" style="99"/>
    <col min="2055" max="2055" width="31" style="99" bestFit="1" customWidth="1"/>
    <col min="2056" max="2059" width="11.42578125" style="99"/>
    <col min="2060" max="2061" width="13" style="99" customWidth="1"/>
    <col min="2062" max="2064" width="11.42578125" style="99"/>
    <col min="2065" max="2065" width="12.140625" style="99" customWidth="1"/>
    <col min="2066" max="2310" width="11.42578125" style="99"/>
    <col min="2311" max="2311" width="31" style="99" bestFit="1" customWidth="1"/>
    <col min="2312" max="2315" width="11.42578125" style="99"/>
    <col min="2316" max="2317" width="13" style="99" customWidth="1"/>
    <col min="2318" max="2320" width="11.42578125" style="99"/>
    <col min="2321" max="2321" width="12.140625" style="99" customWidth="1"/>
    <col min="2322" max="2566" width="11.42578125" style="99"/>
    <col min="2567" max="2567" width="31" style="99" bestFit="1" customWidth="1"/>
    <col min="2568" max="2571" width="11.42578125" style="99"/>
    <col min="2572" max="2573" width="13" style="99" customWidth="1"/>
    <col min="2574" max="2576" width="11.42578125" style="99"/>
    <col min="2577" max="2577" width="12.140625" style="99" customWidth="1"/>
    <col min="2578" max="2822" width="11.42578125" style="99"/>
    <col min="2823" max="2823" width="31" style="99" bestFit="1" customWidth="1"/>
    <col min="2824" max="2827" width="11.42578125" style="99"/>
    <col min="2828" max="2829" width="13" style="99" customWidth="1"/>
    <col min="2830" max="2832" width="11.42578125" style="99"/>
    <col min="2833" max="2833" width="12.140625" style="99" customWidth="1"/>
    <col min="2834" max="3078" width="11.42578125" style="99"/>
    <col min="3079" max="3079" width="31" style="99" bestFit="1" customWidth="1"/>
    <col min="3080" max="3083" width="11.42578125" style="99"/>
    <col min="3084" max="3085" width="13" style="99" customWidth="1"/>
    <col min="3086" max="3088" width="11.42578125" style="99"/>
    <col min="3089" max="3089" width="12.140625" style="99" customWidth="1"/>
    <col min="3090" max="3334" width="11.42578125" style="99"/>
    <col min="3335" max="3335" width="31" style="99" bestFit="1" customWidth="1"/>
    <col min="3336" max="3339" width="11.42578125" style="99"/>
    <col min="3340" max="3341" width="13" style="99" customWidth="1"/>
    <col min="3342" max="3344" width="11.42578125" style="99"/>
    <col min="3345" max="3345" width="12.140625" style="99" customWidth="1"/>
    <col min="3346" max="3590" width="11.42578125" style="99"/>
    <col min="3591" max="3591" width="31" style="99" bestFit="1" customWidth="1"/>
    <col min="3592" max="3595" width="11.42578125" style="99"/>
    <col min="3596" max="3597" width="13" style="99" customWidth="1"/>
    <col min="3598" max="3600" width="11.42578125" style="99"/>
    <col min="3601" max="3601" width="12.140625" style="99" customWidth="1"/>
    <col min="3602" max="3846" width="11.42578125" style="99"/>
    <col min="3847" max="3847" width="31" style="99" bestFit="1" customWidth="1"/>
    <col min="3848" max="3851" width="11.42578125" style="99"/>
    <col min="3852" max="3853" width="13" style="99" customWidth="1"/>
    <col min="3854" max="3856" width="11.42578125" style="99"/>
    <col min="3857" max="3857" width="12.140625" style="99" customWidth="1"/>
    <col min="3858" max="4102" width="11.42578125" style="99"/>
    <col min="4103" max="4103" width="31" style="99" bestFit="1" customWidth="1"/>
    <col min="4104" max="4107" width="11.42578125" style="99"/>
    <col min="4108" max="4109" width="13" style="99" customWidth="1"/>
    <col min="4110" max="4112" width="11.42578125" style="99"/>
    <col min="4113" max="4113" width="12.140625" style="99" customWidth="1"/>
    <col min="4114" max="4358" width="11.42578125" style="99"/>
    <col min="4359" max="4359" width="31" style="99" bestFit="1" customWidth="1"/>
    <col min="4360" max="4363" width="11.42578125" style="99"/>
    <col min="4364" max="4365" width="13" style="99" customWidth="1"/>
    <col min="4366" max="4368" width="11.42578125" style="99"/>
    <col min="4369" max="4369" width="12.140625" style="99" customWidth="1"/>
    <col min="4370" max="4614" width="11.42578125" style="99"/>
    <col min="4615" max="4615" width="31" style="99" bestFit="1" customWidth="1"/>
    <col min="4616" max="4619" width="11.42578125" style="99"/>
    <col min="4620" max="4621" width="13" style="99" customWidth="1"/>
    <col min="4622" max="4624" width="11.42578125" style="99"/>
    <col min="4625" max="4625" width="12.140625" style="99" customWidth="1"/>
    <col min="4626" max="4870" width="11.42578125" style="99"/>
    <col min="4871" max="4871" width="31" style="99" bestFit="1" customWidth="1"/>
    <col min="4872" max="4875" width="11.42578125" style="99"/>
    <col min="4876" max="4877" width="13" style="99" customWidth="1"/>
    <col min="4878" max="4880" width="11.42578125" style="99"/>
    <col min="4881" max="4881" width="12.140625" style="99" customWidth="1"/>
    <col min="4882" max="5126" width="11.42578125" style="99"/>
    <col min="5127" max="5127" width="31" style="99" bestFit="1" customWidth="1"/>
    <col min="5128" max="5131" width="11.42578125" style="99"/>
    <col min="5132" max="5133" width="13" style="99" customWidth="1"/>
    <col min="5134" max="5136" width="11.42578125" style="99"/>
    <col min="5137" max="5137" width="12.140625" style="99" customWidth="1"/>
    <col min="5138" max="5382" width="11.42578125" style="99"/>
    <col min="5383" max="5383" width="31" style="99" bestFit="1" customWidth="1"/>
    <col min="5384" max="5387" width="11.42578125" style="99"/>
    <col min="5388" max="5389" width="13" style="99" customWidth="1"/>
    <col min="5390" max="5392" width="11.42578125" style="99"/>
    <col min="5393" max="5393" width="12.140625" style="99" customWidth="1"/>
    <col min="5394" max="5638" width="11.42578125" style="99"/>
    <col min="5639" max="5639" width="31" style="99" bestFit="1" customWidth="1"/>
    <col min="5640" max="5643" width="11.42578125" style="99"/>
    <col min="5644" max="5645" width="13" style="99" customWidth="1"/>
    <col min="5646" max="5648" width="11.42578125" style="99"/>
    <col min="5649" max="5649" width="12.140625" style="99" customWidth="1"/>
    <col min="5650" max="5894" width="11.42578125" style="99"/>
    <col min="5895" max="5895" width="31" style="99" bestFit="1" customWidth="1"/>
    <col min="5896" max="5899" width="11.42578125" style="99"/>
    <col min="5900" max="5901" width="13" style="99" customWidth="1"/>
    <col min="5902" max="5904" width="11.42578125" style="99"/>
    <col min="5905" max="5905" width="12.140625" style="99" customWidth="1"/>
    <col min="5906" max="6150" width="11.42578125" style="99"/>
    <col min="6151" max="6151" width="31" style="99" bestFit="1" customWidth="1"/>
    <col min="6152" max="6155" width="11.42578125" style="99"/>
    <col min="6156" max="6157" width="13" style="99" customWidth="1"/>
    <col min="6158" max="6160" width="11.42578125" style="99"/>
    <col min="6161" max="6161" width="12.140625" style="99" customWidth="1"/>
    <col min="6162" max="6406" width="11.42578125" style="99"/>
    <col min="6407" max="6407" width="31" style="99" bestFit="1" customWidth="1"/>
    <col min="6408" max="6411" width="11.42578125" style="99"/>
    <col min="6412" max="6413" width="13" style="99" customWidth="1"/>
    <col min="6414" max="6416" width="11.42578125" style="99"/>
    <col min="6417" max="6417" width="12.140625" style="99" customWidth="1"/>
    <col min="6418" max="6662" width="11.42578125" style="99"/>
    <col min="6663" max="6663" width="31" style="99" bestFit="1" customWidth="1"/>
    <col min="6664" max="6667" width="11.42578125" style="99"/>
    <col min="6668" max="6669" width="13" style="99" customWidth="1"/>
    <col min="6670" max="6672" width="11.42578125" style="99"/>
    <col min="6673" max="6673" width="12.140625" style="99" customWidth="1"/>
    <col min="6674" max="6918" width="11.42578125" style="99"/>
    <col min="6919" max="6919" width="31" style="99" bestFit="1" customWidth="1"/>
    <col min="6920" max="6923" width="11.42578125" style="99"/>
    <col min="6924" max="6925" width="13" style="99" customWidth="1"/>
    <col min="6926" max="6928" width="11.42578125" style="99"/>
    <col min="6929" max="6929" width="12.140625" style="99" customWidth="1"/>
    <col min="6930" max="7174" width="11.42578125" style="99"/>
    <col min="7175" max="7175" width="31" style="99" bestFit="1" customWidth="1"/>
    <col min="7176" max="7179" width="11.42578125" style="99"/>
    <col min="7180" max="7181" width="13" style="99" customWidth="1"/>
    <col min="7182" max="7184" width="11.42578125" style="99"/>
    <col min="7185" max="7185" width="12.140625" style="99" customWidth="1"/>
    <col min="7186" max="7430" width="11.42578125" style="99"/>
    <col min="7431" max="7431" width="31" style="99" bestFit="1" customWidth="1"/>
    <col min="7432" max="7435" width="11.42578125" style="99"/>
    <col min="7436" max="7437" width="13" style="99" customWidth="1"/>
    <col min="7438" max="7440" width="11.42578125" style="99"/>
    <col min="7441" max="7441" width="12.140625" style="99" customWidth="1"/>
    <col min="7442" max="7686" width="11.42578125" style="99"/>
    <col min="7687" max="7687" width="31" style="99" bestFit="1" customWidth="1"/>
    <col min="7688" max="7691" width="11.42578125" style="99"/>
    <col min="7692" max="7693" width="13" style="99" customWidth="1"/>
    <col min="7694" max="7696" width="11.42578125" style="99"/>
    <col min="7697" max="7697" width="12.140625" style="99" customWidth="1"/>
    <col min="7698" max="7942" width="11.42578125" style="99"/>
    <col min="7943" max="7943" width="31" style="99" bestFit="1" customWidth="1"/>
    <col min="7944" max="7947" width="11.42578125" style="99"/>
    <col min="7948" max="7949" width="13" style="99" customWidth="1"/>
    <col min="7950" max="7952" width="11.42578125" style="99"/>
    <col min="7953" max="7953" width="12.140625" style="99" customWidth="1"/>
    <col min="7954" max="8198" width="11.42578125" style="99"/>
    <col min="8199" max="8199" width="31" style="99" bestFit="1" customWidth="1"/>
    <col min="8200" max="8203" width="11.42578125" style="99"/>
    <col min="8204" max="8205" width="13" style="99" customWidth="1"/>
    <col min="8206" max="8208" width="11.42578125" style="99"/>
    <col min="8209" max="8209" width="12.140625" style="99" customWidth="1"/>
    <col min="8210" max="8454" width="11.42578125" style="99"/>
    <col min="8455" max="8455" width="31" style="99" bestFit="1" customWidth="1"/>
    <col min="8456" max="8459" width="11.42578125" style="99"/>
    <col min="8460" max="8461" width="13" style="99" customWidth="1"/>
    <col min="8462" max="8464" width="11.42578125" style="99"/>
    <col min="8465" max="8465" width="12.140625" style="99" customWidth="1"/>
    <col min="8466" max="8710" width="11.42578125" style="99"/>
    <col min="8711" max="8711" width="31" style="99" bestFit="1" customWidth="1"/>
    <col min="8712" max="8715" width="11.42578125" style="99"/>
    <col min="8716" max="8717" width="13" style="99" customWidth="1"/>
    <col min="8718" max="8720" width="11.42578125" style="99"/>
    <col min="8721" max="8721" width="12.140625" style="99" customWidth="1"/>
    <col min="8722" max="8966" width="11.42578125" style="99"/>
    <col min="8967" max="8967" width="31" style="99" bestFit="1" customWidth="1"/>
    <col min="8968" max="8971" width="11.42578125" style="99"/>
    <col min="8972" max="8973" width="13" style="99" customWidth="1"/>
    <col min="8974" max="8976" width="11.42578125" style="99"/>
    <col min="8977" max="8977" width="12.140625" style="99" customWidth="1"/>
    <col min="8978" max="9222" width="11.42578125" style="99"/>
    <col min="9223" max="9223" width="31" style="99" bestFit="1" customWidth="1"/>
    <col min="9224" max="9227" width="11.42578125" style="99"/>
    <col min="9228" max="9229" width="13" style="99" customWidth="1"/>
    <col min="9230" max="9232" width="11.42578125" style="99"/>
    <col min="9233" max="9233" width="12.140625" style="99" customWidth="1"/>
    <col min="9234" max="9478" width="11.42578125" style="99"/>
    <col min="9479" max="9479" width="31" style="99" bestFit="1" customWidth="1"/>
    <col min="9480" max="9483" width="11.42578125" style="99"/>
    <col min="9484" max="9485" width="13" style="99" customWidth="1"/>
    <col min="9486" max="9488" width="11.42578125" style="99"/>
    <col min="9489" max="9489" width="12.140625" style="99" customWidth="1"/>
    <col min="9490" max="9734" width="11.42578125" style="99"/>
    <col min="9735" max="9735" width="31" style="99" bestFit="1" customWidth="1"/>
    <col min="9736" max="9739" width="11.42578125" style="99"/>
    <col min="9740" max="9741" width="13" style="99" customWidth="1"/>
    <col min="9742" max="9744" width="11.42578125" style="99"/>
    <col min="9745" max="9745" width="12.140625" style="99" customWidth="1"/>
    <col min="9746" max="9990" width="11.42578125" style="99"/>
    <col min="9991" max="9991" width="31" style="99" bestFit="1" customWidth="1"/>
    <col min="9992" max="9995" width="11.42578125" style="99"/>
    <col min="9996" max="9997" width="13" style="99" customWidth="1"/>
    <col min="9998" max="10000" width="11.42578125" style="99"/>
    <col min="10001" max="10001" width="12.140625" style="99" customWidth="1"/>
    <col min="10002" max="10246" width="11.42578125" style="99"/>
    <col min="10247" max="10247" width="31" style="99" bestFit="1" customWidth="1"/>
    <col min="10248" max="10251" width="11.42578125" style="99"/>
    <col min="10252" max="10253" width="13" style="99" customWidth="1"/>
    <col min="10254" max="10256" width="11.42578125" style="99"/>
    <col min="10257" max="10257" width="12.140625" style="99" customWidth="1"/>
    <col min="10258" max="10502" width="11.42578125" style="99"/>
    <col min="10503" max="10503" width="31" style="99" bestFit="1" customWidth="1"/>
    <col min="10504" max="10507" width="11.42578125" style="99"/>
    <col min="10508" max="10509" width="13" style="99" customWidth="1"/>
    <col min="10510" max="10512" width="11.42578125" style="99"/>
    <col min="10513" max="10513" width="12.140625" style="99" customWidth="1"/>
    <col min="10514" max="10758" width="11.42578125" style="99"/>
    <col min="10759" max="10759" width="31" style="99" bestFit="1" customWidth="1"/>
    <col min="10760" max="10763" width="11.42578125" style="99"/>
    <col min="10764" max="10765" width="13" style="99" customWidth="1"/>
    <col min="10766" max="10768" width="11.42578125" style="99"/>
    <col min="10769" max="10769" width="12.140625" style="99" customWidth="1"/>
    <col min="10770" max="11014" width="11.42578125" style="99"/>
    <col min="11015" max="11015" width="31" style="99" bestFit="1" customWidth="1"/>
    <col min="11016" max="11019" width="11.42578125" style="99"/>
    <col min="11020" max="11021" width="13" style="99" customWidth="1"/>
    <col min="11022" max="11024" width="11.42578125" style="99"/>
    <col min="11025" max="11025" width="12.140625" style="99" customWidth="1"/>
    <col min="11026" max="11270" width="11.42578125" style="99"/>
    <col min="11271" max="11271" width="31" style="99" bestFit="1" customWidth="1"/>
    <col min="11272" max="11275" width="11.42578125" style="99"/>
    <col min="11276" max="11277" width="13" style="99" customWidth="1"/>
    <col min="11278" max="11280" width="11.42578125" style="99"/>
    <col min="11281" max="11281" width="12.140625" style="99" customWidth="1"/>
    <col min="11282" max="11526" width="11.42578125" style="99"/>
    <col min="11527" max="11527" width="31" style="99" bestFit="1" customWidth="1"/>
    <col min="11528" max="11531" width="11.42578125" style="99"/>
    <col min="11532" max="11533" width="13" style="99" customWidth="1"/>
    <col min="11534" max="11536" width="11.42578125" style="99"/>
    <col min="11537" max="11537" width="12.140625" style="99" customWidth="1"/>
    <col min="11538" max="11782" width="11.42578125" style="99"/>
    <col min="11783" max="11783" width="31" style="99" bestFit="1" customWidth="1"/>
    <col min="11784" max="11787" width="11.42578125" style="99"/>
    <col min="11788" max="11789" width="13" style="99" customWidth="1"/>
    <col min="11790" max="11792" width="11.42578125" style="99"/>
    <col min="11793" max="11793" width="12.140625" style="99" customWidth="1"/>
    <col min="11794" max="12038" width="11.42578125" style="99"/>
    <col min="12039" max="12039" width="31" style="99" bestFit="1" customWidth="1"/>
    <col min="12040" max="12043" width="11.42578125" style="99"/>
    <col min="12044" max="12045" width="13" style="99" customWidth="1"/>
    <col min="12046" max="12048" width="11.42578125" style="99"/>
    <col min="12049" max="12049" width="12.140625" style="99" customWidth="1"/>
    <col min="12050" max="12294" width="11.42578125" style="99"/>
    <col min="12295" max="12295" width="31" style="99" bestFit="1" customWidth="1"/>
    <col min="12296" max="12299" width="11.42578125" style="99"/>
    <col min="12300" max="12301" width="13" style="99" customWidth="1"/>
    <col min="12302" max="12304" width="11.42578125" style="99"/>
    <col min="12305" max="12305" width="12.140625" style="99" customWidth="1"/>
    <col min="12306" max="12550" width="11.42578125" style="99"/>
    <col min="12551" max="12551" width="31" style="99" bestFit="1" customWidth="1"/>
    <col min="12552" max="12555" width="11.42578125" style="99"/>
    <col min="12556" max="12557" width="13" style="99" customWidth="1"/>
    <col min="12558" max="12560" width="11.42578125" style="99"/>
    <col min="12561" max="12561" width="12.140625" style="99" customWidth="1"/>
    <col min="12562" max="12806" width="11.42578125" style="99"/>
    <col min="12807" max="12807" width="31" style="99" bestFit="1" customWidth="1"/>
    <col min="12808" max="12811" width="11.42578125" style="99"/>
    <col min="12812" max="12813" width="13" style="99" customWidth="1"/>
    <col min="12814" max="12816" width="11.42578125" style="99"/>
    <col min="12817" max="12817" width="12.140625" style="99" customWidth="1"/>
    <col min="12818" max="13062" width="11.42578125" style="99"/>
    <col min="13063" max="13063" width="31" style="99" bestFit="1" customWidth="1"/>
    <col min="13064" max="13067" width="11.42578125" style="99"/>
    <col min="13068" max="13069" width="13" style="99" customWidth="1"/>
    <col min="13070" max="13072" width="11.42578125" style="99"/>
    <col min="13073" max="13073" width="12.140625" style="99" customWidth="1"/>
    <col min="13074" max="13318" width="11.42578125" style="99"/>
    <col min="13319" max="13319" width="31" style="99" bestFit="1" customWidth="1"/>
    <col min="13320" max="13323" width="11.42578125" style="99"/>
    <col min="13324" max="13325" width="13" style="99" customWidth="1"/>
    <col min="13326" max="13328" width="11.42578125" style="99"/>
    <col min="13329" max="13329" width="12.140625" style="99" customWidth="1"/>
    <col min="13330" max="13574" width="11.42578125" style="99"/>
    <col min="13575" max="13575" width="31" style="99" bestFit="1" customWidth="1"/>
    <col min="13576" max="13579" width="11.42578125" style="99"/>
    <col min="13580" max="13581" width="13" style="99" customWidth="1"/>
    <col min="13582" max="13584" width="11.42578125" style="99"/>
    <col min="13585" max="13585" width="12.140625" style="99" customWidth="1"/>
    <col min="13586" max="13830" width="11.42578125" style="99"/>
    <col min="13831" max="13831" width="31" style="99" bestFit="1" customWidth="1"/>
    <col min="13832" max="13835" width="11.42578125" style="99"/>
    <col min="13836" max="13837" width="13" style="99" customWidth="1"/>
    <col min="13838" max="13840" width="11.42578125" style="99"/>
    <col min="13841" max="13841" width="12.140625" style="99" customWidth="1"/>
    <col min="13842" max="14086" width="11.42578125" style="99"/>
    <col min="14087" max="14087" width="31" style="99" bestFit="1" customWidth="1"/>
    <col min="14088" max="14091" width="11.42578125" style="99"/>
    <col min="14092" max="14093" width="13" style="99" customWidth="1"/>
    <col min="14094" max="14096" width="11.42578125" style="99"/>
    <col min="14097" max="14097" width="12.140625" style="99" customWidth="1"/>
    <col min="14098" max="14342" width="11.42578125" style="99"/>
    <col min="14343" max="14343" width="31" style="99" bestFit="1" customWidth="1"/>
    <col min="14344" max="14347" width="11.42578125" style="99"/>
    <col min="14348" max="14349" width="13" style="99" customWidth="1"/>
    <col min="14350" max="14352" width="11.42578125" style="99"/>
    <col min="14353" max="14353" width="12.140625" style="99" customWidth="1"/>
    <col min="14354" max="14598" width="11.42578125" style="99"/>
    <col min="14599" max="14599" width="31" style="99" bestFit="1" customWidth="1"/>
    <col min="14600" max="14603" width="11.42578125" style="99"/>
    <col min="14604" max="14605" width="13" style="99" customWidth="1"/>
    <col min="14606" max="14608" width="11.42578125" style="99"/>
    <col min="14609" max="14609" width="12.140625" style="99" customWidth="1"/>
    <col min="14610" max="14854" width="11.42578125" style="99"/>
    <col min="14855" max="14855" width="31" style="99" bestFit="1" customWidth="1"/>
    <col min="14856" max="14859" width="11.42578125" style="99"/>
    <col min="14860" max="14861" width="13" style="99" customWidth="1"/>
    <col min="14862" max="14864" width="11.42578125" style="99"/>
    <col min="14865" max="14865" width="12.140625" style="99" customWidth="1"/>
    <col min="14866" max="15110" width="11.42578125" style="99"/>
    <col min="15111" max="15111" width="31" style="99" bestFit="1" customWidth="1"/>
    <col min="15112" max="15115" width="11.42578125" style="99"/>
    <col min="15116" max="15117" width="13" style="99" customWidth="1"/>
    <col min="15118" max="15120" width="11.42578125" style="99"/>
    <col min="15121" max="15121" width="12.140625" style="99" customWidth="1"/>
    <col min="15122" max="15366" width="11.42578125" style="99"/>
    <col min="15367" max="15367" width="31" style="99" bestFit="1" customWidth="1"/>
    <col min="15368" max="15371" width="11.42578125" style="99"/>
    <col min="15372" max="15373" width="13" style="99" customWidth="1"/>
    <col min="15374" max="15376" width="11.42578125" style="99"/>
    <col min="15377" max="15377" width="12.140625" style="99" customWidth="1"/>
    <col min="15378" max="15622" width="11.42578125" style="99"/>
    <col min="15623" max="15623" width="31" style="99" bestFit="1" customWidth="1"/>
    <col min="15624" max="15627" width="11.42578125" style="99"/>
    <col min="15628" max="15629" width="13" style="99" customWidth="1"/>
    <col min="15630" max="15632" width="11.42578125" style="99"/>
    <col min="15633" max="15633" width="12.140625" style="99" customWidth="1"/>
    <col min="15634" max="15878" width="11.42578125" style="99"/>
    <col min="15879" max="15879" width="31" style="99" bestFit="1" customWidth="1"/>
    <col min="15880" max="15883" width="11.42578125" style="99"/>
    <col min="15884" max="15885" width="13" style="99" customWidth="1"/>
    <col min="15886" max="15888" width="11.42578125" style="99"/>
    <col min="15889" max="15889" width="12.140625" style="99" customWidth="1"/>
    <col min="15890" max="16134" width="11.42578125" style="99"/>
    <col min="16135" max="16135" width="31" style="99" bestFit="1" customWidth="1"/>
    <col min="16136" max="16139" width="11.42578125" style="99"/>
    <col min="16140" max="16141" width="13" style="99" customWidth="1"/>
    <col min="16142" max="16144" width="11.42578125" style="99"/>
    <col min="16145" max="16145" width="12.140625" style="99" customWidth="1"/>
    <col min="16146" max="16384" width="11.42578125" style="99"/>
  </cols>
  <sheetData>
    <row r="1" spans="1:13" ht="33" customHeight="1" thickBot="1">
      <c r="B1" s="338" t="s">
        <v>634</v>
      </c>
      <c r="C1" s="339"/>
      <c r="D1" s="340"/>
      <c r="E1" s="338" t="s">
        <v>635</v>
      </c>
      <c r="F1" s="339"/>
      <c r="G1" s="340"/>
      <c r="H1" s="338" t="s">
        <v>636</v>
      </c>
      <c r="I1" s="339"/>
      <c r="J1" s="340"/>
      <c r="K1" s="338" t="s">
        <v>637</v>
      </c>
      <c r="L1" s="339"/>
      <c r="M1" s="340"/>
    </row>
    <row r="2" spans="1:13" ht="44.25" customHeight="1">
      <c r="A2" s="100"/>
      <c r="B2" s="101" t="s">
        <v>638</v>
      </c>
      <c r="C2" s="102" t="s">
        <v>639</v>
      </c>
      <c r="D2" s="102" t="s">
        <v>640</v>
      </c>
      <c r="E2" s="101" t="s">
        <v>638</v>
      </c>
      <c r="F2" s="102" t="s">
        <v>639</v>
      </c>
      <c r="G2" s="102" t="s">
        <v>640</v>
      </c>
      <c r="H2" s="101" t="s">
        <v>638</v>
      </c>
      <c r="I2" s="102" t="s">
        <v>639</v>
      </c>
      <c r="J2" s="102" t="s">
        <v>640</v>
      </c>
      <c r="K2" s="101" t="s">
        <v>638</v>
      </c>
      <c r="L2" s="102" t="s">
        <v>639</v>
      </c>
      <c r="M2" s="102" t="s">
        <v>640</v>
      </c>
    </row>
    <row r="3" spans="1:13">
      <c r="A3" s="103" t="s">
        <v>641</v>
      </c>
      <c r="B3" s="103"/>
      <c r="C3" s="104"/>
      <c r="D3" s="104"/>
      <c r="E3" s="103"/>
      <c r="F3" s="104"/>
      <c r="G3" s="104"/>
      <c r="H3" s="103"/>
      <c r="I3" s="104"/>
      <c r="J3" s="104"/>
      <c r="K3" s="103"/>
      <c r="L3" s="104"/>
      <c r="M3" s="104"/>
    </row>
    <row r="4" spans="1:13">
      <c r="A4" s="357" t="s">
        <v>642</v>
      </c>
      <c r="B4" s="105">
        <f>+'Centro 1'!F4+'Centro 1'!F6</f>
        <v>0</v>
      </c>
      <c r="C4" s="105">
        <f>+'Centro 1'!G4+'Centro 1'!G6</f>
        <v>0</v>
      </c>
      <c r="D4" s="358" t="str">
        <f>IF(B4=0, "SP",+(C4-B4)/B4)</f>
        <v>SP</v>
      </c>
      <c r="E4" s="105">
        <f>+'Centro 2'!F4+'Centro 2'!F6</f>
        <v>0</v>
      </c>
      <c r="F4" s="105">
        <f>+'Centro 2'!G4+'Centro 2'!G6</f>
        <v>0</v>
      </c>
      <c r="G4" s="358" t="str">
        <f>IF(E4=0, "SP",+(F4-E4)/E4)</f>
        <v>SP</v>
      </c>
      <c r="H4" s="105">
        <f>+'Centro 3'!F4+'Centro 3'!F6</f>
        <v>0</v>
      </c>
      <c r="I4" s="105">
        <f>+'Centro 3'!G4+'Centro 3'!G6</f>
        <v>0</v>
      </c>
      <c r="J4" s="358" t="str">
        <f>IF(H4=0, "SP",+(I4-H4)/H4)</f>
        <v>SP</v>
      </c>
      <c r="K4" s="105">
        <f>+'Centro 4'!F4+'Centro 4'!F6</f>
        <v>0</v>
      </c>
      <c r="L4" s="105">
        <f>+'Centro 4'!G4+'Centro 4'!G6</f>
        <v>0</v>
      </c>
      <c r="M4" s="358" t="str">
        <f>IF(K4=0, "SP",+(L4-K4)/K4)</f>
        <v>SP</v>
      </c>
    </row>
    <row r="5" spans="1:13">
      <c r="A5" s="357" t="s">
        <v>643</v>
      </c>
      <c r="B5" s="105">
        <f>+'Centro 1'!F9+'Centro 1'!F11+'Centro 1'!F23</f>
        <v>0</v>
      </c>
      <c r="C5" s="105">
        <f>+'Centro 1'!G9+'Centro 1'!G11+'Centro 1'!G23</f>
        <v>0</v>
      </c>
      <c r="D5" s="358" t="str">
        <f t="shared" ref="D5:D6" si="0">IF(B5=0, "SP",+(C5-B5)/B5)</f>
        <v>SP</v>
      </c>
      <c r="E5" s="105">
        <f>+'Centro 2'!F9+'Centro 2'!F11+'Centro 2'!F23</f>
        <v>0</v>
      </c>
      <c r="F5" s="105">
        <f>+'Centro 2'!G9+'Centro 2'!G11+'Centro 2'!G23</f>
        <v>0</v>
      </c>
      <c r="G5" s="358" t="str">
        <f t="shared" ref="G5:G6" si="1">IF(E5=0, "SP",+(F5-E5)/E5)</f>
        <v>SP</v>
      </c>
      <c r="H5" s="105">
        <f>+'Centro 3'!F9+'Centro 3'!F11+'Centro 3'!F23</f>
        <v>0</v>
      </c>
      <c r="I5" s="105">
        <f>+'Centro 3'!G9+'Centro 3'!G11+'Centro 3'!G23</f>
        <v>0</v>
      </c>
      <c r="J5" s="358" t="str">
        <f t="shared" ref="J5:J6" si="2">IF(H5=0, "SP",+(I5-H5)/H5)</f>
        <v>SP</v>
      </c>
      <c r="K5" s="105">
        <f>+'Centro 4'!F9+'Centro 4'!F11+'Centro 4'!F23</f>
        <v>0</v>
      </c>
      <c r="L5" s="105">
        <f>+'Centro 4'!G9+'Centro 4'!G11+'Centro 4'!G23</f>
        <v>0</v>
      </c>
      <c r="M5" s="358" t="str">
        <f t="shared" ref="M5:M6" si="3">IF(K5=0, "SP",+(L5-K5)/K5)</f>
        <v>SP</v>
      </c>
    </row>
    <row r="6" spans="1:13">
      <c r="A6" s="357" t="s">
        <v>644</v>
      </c>
      <c r="B6" s="105">
        <f>+'Centro 1'!F198-'Pto 15.1.2 Memoria Asociaciones'!B4-'Pto 15.1.2 Memoria Asociaciones'!B5</f>
        <v>0</v>
      </c>
      <c r="C6" s="105">
        <f>+'Centro 1'!G198-'Pto 15.1.2 Memoria Asociaciones'!C4-'Pto 15.1.2 Memoria Asociaciones'!C5</f>
        <v>0</v>
      </c>
      <c r="D6" s="358" t="str">
        <f t="shared" si="0"/>
        <v>SP</v>
      </c>
      <c r="E6" s="105">
        <f>+'Centro 2'!F199-'Pto 15.1.2 Memoria Asociaciones'!E4-'Pto 15.1.2 Memoria Asociaciones'!E5</f>
        <v>0</v>
      </c>
      <c r="F6" s="105">
        <f>+'Centro 2'!G199-'Pto 15.1.2 Memoria Asociaciones'!F4-'Pto 15.1.2 Memoria Asociaciones'!F5</f>
        <v>0</v>
      </c>
      <c r="G6" s="358" t="str">
        <f t="shared" si="1"/>
        <v>SP</v>
      </c>
      <c r="H6" s="105">
        <f>+'Centro 3'!F197-'Pto 15.1.2 Memoria Asociaciones'!H4-'Pto 15.1.2 Memoria Asociaciones'!H5</f>
        <v>0</v>
      </c>
      <c r="I6" s="105">
        <f>+'Centro 3'!G197-'Pto 15.1.2 Memoria Asociaciones'!I4-'Pto 15.1.2 Memoria Asociaciones'!I5</f>
        <v>0</v>
      </c>
      <c r="J6" s="358" t="str">
        <f t="shared" si="2"/>
        <v>SP</v>
      </c>
      <c r="K6" s="105">
        <f>+'Centro 4'!F197-'Pto 15.1.2 Memoria Asociaciones'!K4-'Pto 15.1.2 Memoria Asociaciones'!K5</f>
        <v>0</v>
      </c>
      <c r="L6" s="105">
        <f>+'Centro 4'!G197-'Pto 15.1.2 Memoria Asociaciones'!L4-'Pto 15.1.2 Memoria Asociaciones'!L5</f>
        <v>0</v>
      </c>
      <c r="M6" s="358" t="str">
        <f t="shared" si="3"/>
        <v>SP</v>
      </c>
    </row>
    <row r="7" spans="1:13">
      <c r="A7" s="103" t="s">
        <v>645</v>
      </c>
      <c r="B7" s="103"/>
      <c r="C7" s="104"/>
      <c r="D7" s="157"/>
      <c r="E7" s="103"/>
      <c r="F7" s="103"/>
      <c r="G7" s="157"/>
      <c r="H7" s="103"/>
      <c r="I7" s="103"/>
      <c r="J7" s="157"/>
      <c r="K7" s="103"/>
      <c r="L7" s="103"/>
      <c r="M7" s="157"/>
    </row>
    <row r="8" spans="1:13">
      <c r="A8" s="357" t="s">
        <v>646</v>
      </c>
      <c r="B8" s="105">
        <f>+'Centro 1'!F38</f>
        <v>0</v>
      </c>
      <c r="C8" s="105">
        <f>+'Centro 1'!G38</f>
        <v>0</v>
      </c>
      <c r="D8" s="358" t="str">
        <f>IF(B8=0, "SP",+(C8-B8)/B8)</f>
        <v>SP</v>
      </c>
      <c r="E8" s="105">
        <f>+'Centro 2'!F39</f>
        <v>0</v>
      </c>
      <c r="F8" s="105">
        <f>+'Centro 2'!G39</f>
        <v>0</v>
      </c>
      <c r="G8" s="358" t="str">
        <f>IF(E8=0, "SP",+(F8-E8)/E8)</f>
        <v>SP</v>
      </c>
      <c r="H8" s="105">
        <f>+'Centro 3'!F38</f>
        <v>0</v>
      </c>
      <c r="I8" s="105">
        <f>+'Centro 3'!G38</f>
        <v>0</v>
      </c>
      <c r="J8" s="358" t="str">
        <f>IF(H8=0, "SP",+(I8-H8)/H8)</f>
        <v>SP</v>
      </c>
      <c r="K8" s="105">
        <f>+'Centro 4'!F38</f>
        <v>0</v>
      </c>
      <c r="L8" s="105">
        <f>+'Centro 4'!G38</f>
        <v>0</v>
      </c>
      <c r="M8" s="358" t="str">
        <f>IF(K8=0, "SP",+(L8-K8)/K8)</f>
        <v>SP</v>
      </c>
    </row>
    <row r="9" spans="1:13">
      <c r="A9" s="357" t="s">
        <v>647</v>
      </c>
      <c r="B9" s="105" t="e">
        <f>-'Centro 1'!F96</f>
        <v>#N/A</v>
      </c>
      <c r="C9" s="105">
        <f>-'Centro 1'!G96</f>
        <v>0</v>
      </c>
      <c r="D9" s="358" t="e">
        <f t="shared" ref="D9:D11" si="4">IF(B9=0, "SP",+(C9-B9)/B9)</f>
        <v>#N/A</v>
      </c>
      <c r="E9" s="105" t="e">
        <f>-'Centro 2'!F97</f>
        <v>#N/A</v>
      </c>
      <c r="F9" s="105">
        <f>-'Centro 2'!G97</f>
        <v>0</v>
      </c>
      <c r="G9" s="358" t="e">
        <f t="shared" ref="G9:G11" si="5">IF(E9=0, "SP",+(F9-E9)/E9)</f>
        <v>#N/A</v>
      </c>
      <c r="H9" s="105" t="e">
        <f>-'Centro 3'!F95</f>
        <v>#N/A</v>
      </c>
      <c r="I9" s="105">
        <f>-'Centro 3'!G95</f>
        <v>0</v>
      </c>
      <c r="J9" s="358" t="e">
        <f t="shared" ref="J9:J11" si="6">IF(H9=0, "SP",+(I9-H9)/H9)</f>
        <v>#N/A</v>
      </c>
      <c r="K9" s="105" t="e">
        <f>-'Centro 4'!F95</f>
        <v>#N/A</v>
      </c>
      <c r="L9" s="105">
        <f>-'Centro 4'!G95</f>
        <v>0</v>
      </c>
      <c r="M9" s="358" t="e">
        <f t="shared" ref="M9:M11" si="7">IF(K9=0, "SP",+(L9-K9)/K9)</f>
        <v>#N/A</v>
      </c>
    </row>
    <row r="10" spans="1:13">
      <c r="A10" s="357" t="s">
        <v>648</v>
      </c>
      <c r="B10" s="105" t="e">
        <f>+'Centro 1'!F199-'Pto 15.1.2 Memoria Asociaciones'!B8-'Pto 15.1.2 Memoria Asociaciones'!B9-'Pto 15.1.2 Memoria Asociaciones'!B11</f>
        <v>#N/A</v>
      </c>
      <c r="C10" s="105">
        <f>+'Centro 1'!G199-'Pto 15.1.2 Memoria Asociaciones'!C8-'Pto 15.1.2 Memoria Asociaciones'!C9-'Pto 15.1.2 Memoria Asociaciones'!C11</f>
        <v>0</v>
      </c>
      <c r="D10" s="358" t="e">
        <f t="shared" si="4"/>
        <v>#N/A</v>
      </c>
      <c r="E10" s="105" t="e">
        <f>+'Centro 2'!F200-'Pto 15.1.2 Memoria Asociaciones'!E8-'Pto 15.1.2 Memoria Asociaciones'!E9-'Pto 15.1.2 Memoria Asociaciones'!E11</f>
        <v>#N/A</v>
      </c>
      <c r="F10" s="105">
        <f>+'Centro 2'!G200-'Pto 15.1.2 Memoria Asociaciones'!F8-'Pto 15.1.2 Memoria Asociaciones'!F9-'Pto 15.1.2 Memoria Asociaciones'!F11</f>
        <v>0</v>
      </c>
      <c r="G10" s="358" t="e">
        <f t="shared" si="5"/>
        <v>#N/A</v>
      </c>
      <c r="H10" s="105" t="e">
        <f>+'Centro 3'!F198-'Pto 15.1.2 Memoria Asociaciones'!H8-'Pto 15.1.2 Memoria Asociaciones'!H9-'Pto 15.1.2 Memoria Asociaciones'!H11</f>
        <v>#N/A</v>
      </c>
      <c r="I10" s="105">
        <f>+'Centro 3'!G198-'Pto 15.1.2 Memoria Asociaciones'!I8-'Pto 15.1.2 Memoria Asociaciones'!I9-'Pto 15.1.2 Memoria Asociaciones'!I11</f>
        <v>0</v>
      </c>
      <c r="J10" s="358" t="e">
        <f t="shared" si="6"/>
        <v>#N/A</v>
      </c>
      <c r="K10" s="105" t="e">
        <f>+'Centro 4'!F198-'Pto 15.1.2 Memoria Asociaciones'!K8-'Pto 15.1.2 Memoria Asociaciones'!K9-'Pto 15.1.2 Memoria Asociaciones'!K11</f>
        <v>#N/A</v>
      </c>
      <c r="L10" s="105">
        <f>+'Centro 4'!G198-'Pto 15.1.2 Memoria Asociaciones'!L8-'Pto 15.1.2 Memoria Asociaciones'!L9-'Pto 15.1.2 Memoria Asociaciones'!L11</f>
        <v>0</v>
      </c>
      <c r="M10" s="358" t="e">
        <f t="shared" si="7"/>
        <v>#N/A</v>
      </c>
    </row>
    <row r="11" spans="1:13">
      <c r="A11" s="357" t="s">
        <v>649</v>
      </c>
      <c r="B11" s="105">
        <f>-'Centro 1'!F176-'Centro 1'!F186</f>
        <v>0</v>
      </c>
      <c r="C11" s="105">
        <f>-'Centro 1'!G176-'Centro 1'!G186</f>
        <v>0</v>
      </c>
      <c r="D11" s="358" t="str">
        <f t="shared" si="4"/>
        <v>SP</v>
      </c>
      <c r="E11" s="105">
        <f>-'Centro 2'!F177-'Centro 2'!F187</f>
        <v>0</v>
      </c>
      <c r="F11" s="105">
        <f>-'Centro 2'!G177-'Centro 2'!G187</f>
        <v>0</v>
      </c>
      <c r="G11" s="358" t="str">
        <f t="shared" si="5"/>
        <v>SP</v>
      </c>
      <c r="H11" s="105">
        <f>-'Centro 3'!F175-'Centro 3'!F185</f>
        <v>0</v>
      </c>
      <c r="I11" s="105">
        <f>-'Centro 3'!G175-'Centro 3'!G185</f>
        <v>0</v>
      </c>
      <c r="J11" s="358" t="str">
        <f t="shared" si="6"/>
        <v>SP</v>
      </c>
      <c r="K11" s="105">
        <f>-'Centro 4'!F175-'Centro 4'!F185</f>
        <v>0</v>
      </c>
      <c r="L11" s="105">
        <f>-'Centro 4'!G175-'Centro 4'!G185</f>
        <v>0</v>
      </c>
      <c r="M11" s="358" t="str">
        <f t="shared" si="7"/>
        <v>SP</v>
      </c>
    </row>
    <row r="12" spans="1:13">
      <c r="A12" s="103" t="s">
        <v>650</v>
      </c>
      <c r="B12" s="103"/>
      <c r="C12" s="104"/>
      <c r="D12" s="157"/>
      <c r="E12" s="103"/>
      <c r="F12" s="104"/>
      <c r="G12" s="157"/>
      <c r="H12" s="103"/>
      <c r="I12" s="104"/>
      <c r="J12" s="157"/>
      <c r="K12" s="103"/>
      <c r="L12" s="104"/>
      <c r="M12" s="157"/>
    </row>
    <row r="13" spans="1:13">
      <c r="A13" s="357" t="s">
        <v>651</v>
      </c>
      <c r="B13" s="105"/>
      <c r="C13" s="105"/>
      <c r="D13" s="358" t="str">
        <f>IF(B13=0, "SP",+(C13-B13)/B13)</f>
        <v>SP</v>
      </c>
      <c r="E13" s="105"/>
      <c r="F13" s="105"/>
      <c r="G13" s="358" t="str">
        <f>IF(E13=0, "SP",+(F13-E13)/E13)</f>
        <v>SP</v>
      </c>
      <c r="H13" s="105"/>
      <c r="I13" s="105"/>
      <c r="J13" s="358" t="str">
        <f>IF(H13=0, "SP",+(I13-H13)/H13)</f>
        <v>SP</v>
      </c>
      <c r="K13" s="105"/>
      <c r="L13" s="105"/>
      <c r="M13" s="358" t="str">
        <f>IF(K13=0, "SP",+(L13-K13)/K13)</f>
        <v>SP</v>
      </c>
    </row>
    <row r="14" spans="1:13">
      <c r="A14" s="357" t="s">
        <v>652</v>
      </c>
      <c r="B14" s="106"/>
      <c r="C14" s="106"/>
      <c r="D14" s="358" t="str">
        <f t="shared" ref="D14:D15" si="8">IF(B14=0, "SP",+(C14-B14)/B14)</f>
        <v>SP</v>
      </c>
      <c r="E14" s="106"/>
      <c r="F14" s="106"/>
      <c r="G14" s="358" t="str">
        <f t="shared" ref="G14:G15" si="9">IF(E14=0, "SP",+(F14-E14)/E14)</f>
        <v>SP</v>
      </c>
      <c r="H14" s="106"/>
      <c r="I14" s="106"/>
      <c r="J14" s="358" t="str">
        <f t="shared" ref="J14:J15" si="10">IF(H14=0, "SP",+(I14-H14)/H14)</f>
        <v>SP</v>
      </c>
      <c r="K14" s="106"/>
      <c r="L14" s="106"/>
      <c r="M14" s="358" t="str">
        <f t="shared" ref="M14:M15" si="11">IF(K14=0, "SP",+(L14-K14)/K14)</f>
        <v>SP</v>
      </c>
    </row>
    <row r="15" spans="1:13">
      <c r="A15" s="357" t="s">
        <v>653</v>
      </c>
      <c r="B15" s="106"/>
      <c r="C15" s="106"/>
      <c r="D15" s="358" t="str">
        <f t="shared" si="8"/>
        <v>SP</v>
      </c>
      <c r="E15" s="106"/>
      <c r="F15" s="106"/>
      <c r="G15" s="358" t="str">
        <f t="shared" si="9"/>
        <v>SP</v>
      </c>
      <c r="H15" s="106"/>
      <c r="I15" s="106"/>
      <c r="J15" s="358" t="str">
        <f t="shared" si="10"/>
        <v>SP</v>
      </c>
      <c r="K15" s="106"/>
      <c r="L15" s="106"/>
      <c r="M15" s="358" t="str">
        <f t="shared" si="11"/>
        <v>SP</v>
      </c>
    </row>
    <row r="16" spans="1:13">
      <c r="A16" s="103" t="s">
        <v>654</v>
      </c>
      <c r="B16" s="103"/>
      <c r="C16" s="104"/>
      <c r="D16" s="157"/>
      <c r="E16" s="103"/>
      <c r="F16" s="104"/>
      <c r="G16" s="157"/>
      <c r="H16" s="103"/>
      <c r="I16" s="104"/>
      <c r="J16" s="157"/>
      <c r="K16" s="103"/>
      <c r="L16" s="104"/>
      <c r="M16" s="157"/>
    </row>
    <row r="17" spans="1:13">
      <c r="A17" s="100" t="s">
        <v>655</v>
      </c>
      <c r="B17" s="106"/>
      <c r="C17" s="106"/>
      <c r="D17" s="358" t="str">
        <f>IF(B17=0, "SP",+(C17-B17)/B17)</f>
        <v>SP</v>
      </c>
      <c r="E17" s="106"/>
      <c r="F17" s="106"/>
      <c r="G17" s="358" t="str">
        <f>IF(E17=0, "SP",+(F17-E17)/E17)</f>
        <v>SP</v>
      </c>
      <c r="H17" s="106"/>
      <c r="I17" s="106"/>
      <c r="J17" s="358" t="str">
        <f>IF(H17=0, "SP",+(I17-H17)/H17)</f>
        <v>SP</v>
      </c>
      <c r="K17" s="106"/>
      <c r="L17" s="106"/>
      <c r="M17" s="358" t="str">
        <f>IF(K17=0, "SP",+(L17-K17)/K17)</f>
        <v>SP</v>
      </c>
    </row>
    <row r="18" spans="1:13">
      <c r="A18" s="357" t="s">
        <v>656</v>
      </c>
      <c r="B18" s="106"/>
      <c r="C18" s="106"/>
      <c r="D18" s="358" t="str">
        <f t="shared" ref="D18:D19" si="12">IF(B18=0, "SP",+(C18-B18)/B18)</f>
        <v>SP</v>
      </c>
      <c r="E18" s="106"/>
      <c r="F18" s="106"/>
      <c r="G18" s="358" t="str">
        <f t="shared" ref="G18" si="13">IF(E18=0, "SP",+(F18-E18)/E18)</f>
        <v>SP</v>
      </c>
      <c r="H18" s="106"/>
      <c r="I18" s="106"/>
      <c r="J18" s="358" t="str">
        <f t="shared" ref="J18" si="14">IF(H18=0, "SP",+(I18-H18)/H18)</f>
        <v>SP</v>
      </c>
      <c r="K18" s="106"/>
      <c r="L18" s="106"/>
      <c r="M18" s="358" t="str">
        <f t="shared" ref="M18" si="15">IF(K18=0, "SP",+(L18-K18)/K18)</f>
        <v>SP</v>
      </c>
    </row>
    <row r="19" spans="1:13" hidden="1">
      <c r="B19" s="107" t="e">
        <f t="shared" ref="B19:I19" si="16">SUM(B4:B6)-SUM(B8:B11)</f>
        <v>#N/A</v>
      </c>
      <c r="C19" s="107">
        <f t="shared" si="16"/>
        <v>0</v>
      </c>
      <c r="D19" s="358" t="e">
        <f t="shared" si="12"/>
        <v>#N/A</v>
      </c>
      <c r="E19" s="107" t="e">
        <f t="shared" si="16"/>
        <v>#N/A</v>
      </c>
      <c r="F19" s="107">
        <f t="shared" si="16"/>
        <v>0</v>
      </c>
      <c r="G19" s="107"/>
      <c r="H19" s="107" t="e">
        <f t="shared" si="16"/>
        <v>#N/A</v>
      </c>
      <c r="I19" s="107">
        <f t="shared" si="16"/>
        <v>0</v>
      </c>
      <c r="J19" s="107"/>
      <c r="K19" s="107" t="e">
        <f t="shared" ref="K19:L19" si="17">SUM(K4:K6)-SUM(K8:K11)</f>
        <v>#N/A</v>
      </c>
      <c r="L19" s="107">
        <f t="shared" si="17"/>
        <v>0</v>
      </c>
      <c r="M19" s="107"/>
    </row>
    <row r="20" spans="1:13">
      <c r="I20" s="107"/>
      <c r="L20" s="107"/>
    </row>
    <row r="21" spans="1:13">
      <c r="I21" s="107"/>
      <c r="L21" s="107"/>
    </row>
  </sheetData>
  <mergeCells count="4">
    <mergeCell ref="B1:D1"/>
    <mergeCell ref="E1:G1"/>
    <mergeCell ref="H1:J1"/>
    <mergeCell ref="K1:M1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3"/>
  <dimension ref="C3:F16"/>
  <sheetViews>
    <sheetView workbookViewId="0">
      <selection activeCell="C36" sqref="C36"/>
    </sheetView>
  </sheetViews>
  <sheetFormatPr defaultColWidth="11.42578125" defaultRowHeight="12.75"/>
  <sheetData>
    <row r="3" spans="3:6">
      <c r="D3" t="s">
        <v>657</v>
      </c>
      <c r="E3" t="s">
        <v>658</v>
      </c>
      <c r="F3" t="s">
        <v>324</v>
      </c>
    </row>
    <row r="4" spans="3:6">
      <c r="C4">
        <v>1</v>
      </c>
      <c r="D4">
        <v>57</v>
      </c>
      <c r="E4">
        <v>20</v>
      </c>
      <c r="F4">
        <v>13</v>
      </c>
    </row>
    <row r="5" spans="3:6">
      <c r="C5">
        <v>2</v>
      </c>
      <c r="D5">
        <v>59</v>
      </c>
      <c r="E5">
        <v>21</v>
      </c>
      <c r="F5">
        <v>14</v>
      </c>
    </row>
    <row r="6" spans="3:6">
      <c r="C6">
        <v>3</v>
      </c>
      <c r="D6">
        <v>59</v>
      </c>
      <c r="E6">
        <v>21</v>
      </c>
      <c r="F6">
        <v>14</v>
      </c>
    </row>
    <row r="7" spans="3:6">
      <c r="C7">
        <v>4</v>
      </c>
      <c r="D7">
        <v>60</v>
      </c>
      <c r="E7">
        <v>22</v>
      </c>
      <c r="F7">
        <v>14</v>
      </c>
    </row>
    <row r="8" spans="3:6">
      <c r="C8">
        <v>5</v>
      </c>
      <c r="D8">
        <v>60</v>
      </c>
      <c r="E8">
        <v>22</v>
      </c>
      <c r="F8">
        <v>14</v>
      </c>
    </row>
    <row r="9" spans="3:6">
      <c r="C9">
        <v>6</v>
      </c>
      <c r="D9">
        <v>60</v>
      </c>
      <c r="E9">
        <v>22</v>
      </c>
      <c r="F9">
        <v>14</v>
      </c>
    </row>
    <row r="10" spans="3:6">
      <c r="C10">
        <v>7</v>
      </c>
      <c r="D10">
        <v>60</v>
      </c>
      <c r="E10">
        <v>22</v>
      </c>
      <c r="F10">
        <v>14</v>
      </c>
    </row>
    <row r="11" spans="3:6">
      <c r="C11">
        <v>8</v>
      </c>
      <c r="D11">
        <v>61</v>
      </c>
      <c r="E11">
        <v>22</v>
      </c>
      <c r="F11">
        <v>14</v>
      </c>
    </row>
    <row r="12" spans="3:6">
      <c r="C12">
        <v>9</v>
      </c>
      <c r="D12">
        <v>61</v>
      </c>
      <c r="E12">
        <v>23</v>
      </c>
      <c r="F12">
        <v>15</v>
      </c>
    </row>
    <row r="13" spans="3:6">
      <c r="C13">
        <v>10</v>
      </c>
      <c r="D13">
        <v>61</v>
      </c>
      <c r="E13">
        <v>23</v>
      </c>
      <c r="F13">
        <v>15</v>
      </c>
    </row>
    <row r="14" spans="3:6">
      <c r="C14">
        <v>11</v>
      </c>
      <c r="D14">
        <v>61</v>
      </c>
      <c r="E14">
        <v>23</v>
      </c>
      <c r="F14">
        <v>15</v>
      </c>
    </row>
    <row r="15" spans="3:6">
      <c r="C15">
        <v>12</v>
      </c>
      <c r="D15">
        <v>61</v>
      </c>
      <c r="E15">
        <v>23</v>
      </c>
      <c r="F15">
        <v>15</v>
      </c>
    </row>
    <row r="16" spans="3:6">
      <c r="C16" t="s">
        <v>659</v>
      </c>
      <c r="D16">
        <f>SUM(D4:D15)/12</f>
        <v>60</v>
      </c>
      <c r="E16">
        <f>SUM(E4:E15)/12</f>
        <v>22</v>
      </c>
      <c r="F16">
        <f>SUM(F4:F15)/12</f>
        <v>14.25</v>
      </c>
    </row>
  </sheetData>
  <phoneticPr fontId="0" type="noConversion"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J200"/>
  <sheetViews>
    <sheetView topLeftCell="A16" workbookViewId="0">
      <selection activeCell="B28" sqref="B28"/>
    </sheetView>
  </sheetViews>
  <sheetFormatPr defaultColWidth="11.42578125" defaultRowHeight="15.75"/>
  <cols>
    <col min="4" max="4" width="13.7109375" customWidth="1"/>
    <col min="5" max="5" width="13.5703125" style="6" customWidth="1"/>
    <col min="6" max="6" width="19" style="5" customWidth="1"/>
    <col min="7" max="8" width="17.85546875" style="5" hidden="1" customWidth="1"/>
    <col min="9" max="9" width="9.85546875" style="5" hidden="1" customWidth="1"/>
    <col min="10" max="11" width="12.85546875" bestFit="1" customWidth="1"/>
  </cols>
  <sheetData>
    <row r="1" spans="1:10" ht="20.25" customHeight="1">
      <c r="A1" s="2"/>
      <c r="F1" s="45" t="s">
        <v>0</v>
      </c>
      <c r="G1" s="45" t="s">
        <v>1</v>
      </c>
      <c r="H1" s="45" t="s">
        <v>134</v>
      </c>
      <c r="I1" s="44" t="s">
        <v>3</v>
      </c>
    </row>
    <row r="2" spans="1:10" s="63" customFormat="1" ht="16.5">
      <c r="A2" s="58" t="s">
        <v>4</v>
      </c>
      <c r="B2" s="59"/>
      <c r="C2" s="59"/>
      <c r="D2" s="59"/>
      <c r="E2" s="60"/>
      <c r="F2" s="61">
        <f>+F6+F11+F4+F23</f>
        <v>0</v>
      </c>
      <c r="G2" s="61">
        <f>+G4+G6+G9+G11+G23</f>
        <v>0</v>
      </c>
      <c r="H2" s="61">
        <f>+G2-F2</f>
        <v>0</v>
      </c>
      <c r="I2" s="62" t="str">
        <f>IF(F2=0,"S/P",+H2/F2)</f>
        <v>S/P</v>
      </c>
    </row>
    <row r="3" spans="1:10" ht="10.5" customHeight="1">
      <c r="E3"/>
      <c r="F3" s="43"/>
      <c r="G3" s="46"/>
      <c r="H3" s="46"/>
      <c r="I3" s="47"/>
    </row>
    <row r="4" spans="1:10" s="12" customFormat="1" ht="12.75" hidden="1">
      <c r="A4" s="341" t="s">
        <v>5</v>
      </c>
      <c r="B4" s="341"/>
      <c r="C4" s="341"/>
      <c r="D4" s="341"/>
      <c r="E4" s="342"/>
      <c r="F4" s="343"/>
      <c r="G4" s="343"/>
      <c r="H4" s="343">
        <f>+G4-F4</f>
        <v>0</v>
      </c>
      <c r="I4" s="344" t="str">
        <f>IF(F4=0,"S/P",+H4/F4)</f>
        <v>S/P</v>
      </c>
      <c r="J4" s="170"/>
    </row>
    <row r="5" spans="1:10" ht="15" hidden="1" customHeight="1">
      <c r="B5" s="25" t="s">
        <v>6</v>
      </c>
      <c r="E5" s="46"/>
      <c r="F5" s="43"/>
      <c r="G5" s="46"/>
      <c r="H5" s="46"/>
      <c r="I5" s="47"/>
    </row>
    <row r="6" spans="1:10" s="12" customFormat="1" ht="12.75">
      <c r="A6" s="341" t="s">
        <v>7</v>
      </c>
      <c r="B6" s="341"/>
      <c r="C6" s="341"/>
      <c r="D6" s="341"/>
      <c r="E6" s="342"/>
      <c r="F6" s="343">
        <f>+SUM(F7:F8)</f>
        <v>0</v>
      </c>
      <c r="G6" s="343">
        <f>+SUM(G7:G8)</f>
        <v>0</v>
      </c>
      <c r="H6" s="343">
        <f>+H7+H8</f>
        <v>0</v>
      </c>
      <c r="I6" s="344" t="str">
        <f>IF(F6=0,"S/P",+H6/F6)</f>
        <v>S/P</v>
      </c>
      <c r="J6" s="170"/>
    </row>
    <row r="7" spans="1:10" ht="15" customHeight="1">
      <c r="B7" s="25" t="s">
        <v>135</v>
      </c>
      <c r="E7" s="40"/>
      <c r="F7" s="156">
        <f>'Anexo Ingresos'!I40</f>
        <v>0</v>
      </c>
      <c r="G7" s="40"/>
      <c r="H7" s="40">
        <f>+G7-F7</f>
        <v>0</v>
      </c>
      <c r="I7" s="148" t="str">
        <f>IF(E7=0,"S/P",+H7/E7)</f>
        <v>S/P</v>
      </c>
    </row>
    <row r="8" spans="1:10" ht="15" customHeight="1">
      <c r="B8" s="25" t="s">
        <v>136</v>
      </c>
      <c r="E8" s="40"/>
      <c r="F8" s="156">
        <f>+'Anexo Ingresos'!K40</f>
        <v>0</v>
      </c>
      <c r="G8" s="40"/>
      <c r="H8" s="40">
        <f>+G8-F8</f>
        <v>0</v>
      </c>
      <c r="I8" s="148" t="str">
        <f>IF(E8=0,"S/P",+H8/E8)</f>
        <v>S/P</v>
      </c>
    </row>
    <row r="9" spans="1:10" s="12" customFormat="1" ht="12.75" hidden="1">
      <c r="A9" s="341" t="s">
        <v>9</v>
      </c>
      <c r="B9" s="341"/>
      <c r="C9" s="341"/>
      <c r="D9" s="341"/>
      <c r="E9" s="342"/>
      <c r="F9" s="343">
        <f>+'Anexo Ingresos'!C57</f>
        <v>0</v>
      </c>
      <c r="G9" s="343"/>
      <c r="H9" s="343">
        <f>+G9-F9</f>
        <v>0</v>
      </c>
      <c r="I9" s="344" t="str">
        <f>IF(F9=0,"S/P",+H9/F9)</f>
        <v>S/P</v>
      </c>
      <c r="J9" s="170"/>
    </row>
    <row r="10" spans="1:10" ht="15" hidden="1" customHeight="1">
      <c r="B10" s="25" t="s">
        <v>10</v>
      </c>
      <c r="E10" s="46"/>
      <c r="F10" s="43"/>
      <c r="G10" s="46"/>
      <c r="H10" s="46"/>
      <c r="I10" s="47"/>
    </row>
    <row r="11" spans="1:10" s="12" customFormat="1" ht="12.75">
      <c r="A11" s="341" t="s">
        <v>137</v>
      </c>
      <c r="B11" s="341"/>
      <c r="C11" s="341"/>
      <c r="D11" s="341"/>
      <c r="E11" s="342"/>
      <c r="F11" s="343">
        <f>+SUM(F12:F22)</f>
        <v>0</v>
      </c>
      <c r="G11" s="343">
        <f>+SUM(G12:G22)</f>
        <v>0</v>
      </c>
      <c r="H11" s="343">
        <f>+SUM(H12:H22)</f>
        <v>0</v>
      </c>
      <c r="I11" s="344" t="str">
        <f>IF(F11=0,"S/P",+H11/F11)</f>
        <v>S/P</v>
      </c>
      <c r="J11" s="345"/>
    </row>
    <row r="12" spans="1:10" s="64" customFormat="1" ht="15" hidden="1" customHeight="1">
      <c r="A12" s="15"/>
      <c r="B12" s="25">
        <f>+'Anexo Ingresos'!B64</f>
        <v>0</v>
      </c>
      <c r="C12" s="15"/>
      <c r="D12" s="15"/>
      <c r="E12" s="40"/>
      <c r="F12" s="156">
        <f>+'Anexo Ingresos'!C64</f>
        <v>0</v>
      </c>
      <c r="G12" s="156"/>
      <c r="H12" s="40">
        <f t="shared" ref="H12:H22" si="0">+G12-F12</f>
        <v>0</v>
      </c>
      <c r="I12" s="148" t="str">
        <f t="shared" ref="I12:I22" si="1">IF(E12=0,"S/P",+H12/E12)</f>
        <v>S/P</v>
      </c>
      <c r="J12" s="15"/>
    </row>
    <row r="13" spans="1:10" s="64" customFormat="1" ht="15" hidden="1" customHeight="1">
      <c r="A13" s="15"/>
      <c r="B13" s="25">
        <f>+'Anexo Ingresos'!B65</f>
        <v>0</v>
      </c>
      <c r="C13" s="15"/>
      <c r="D13" s="15"/>
      <c r="E13" s="40"/>
      <c r="F13" s="156">
        <f>+'Anexo Ingresos'!C65</f>
        <v>0</v>
      </c>
      <c r="G13" s="156"/>
      <c r="H13" s="40">
        <f t="shared" si="0"/>
        <v>0</v>
      </c>
      <c r="I13" s="148" t="str">
        <f t="shared" si="1"/>
        <v>S/P</v>
      </c>
      <c r="J13" s="15"/>
    </row>
    <row r="14" spans="1:10" s="64" customFormat="1" ht="15" customHeight="1">
      <c r="A14" s="15"/>
      <c r="B14" s="25">
        <f>+'Anexo Ingresos'!B66</f>
        <v>0</v>
      </c>
      <c r="C14" s="15"/>
      <c r="D14" s="15"/>
      <c r="E14" s="40"/>
      <c r="F14" s="156">
        <f>+'Anexo Ingresos'!C66</f>
        <v>0</v>
      </c>
      <c r="G14" s="156"/>
      <c r="H14" s="40">
        <f t="shared" si="0"/>
        <v>0</v>
      </c>
      <c r="I14" s="148" t="str">
        <f t="shared" si="1"/>
        <v>S/P</v>
      </c>
      <c r="J14" s="15"/>
    </row>
    <row r="15" spans="1:10" s="64" customFormat="1" ht="15" customHeight="1">
      <c r="A15" s="15"/>
      <c r="B15" s="25">
        <f>+'Anexo Ingresos'!B67</f>
        <v>0</v>
      </c>
      <c r="C15" s="15"/>
      <c r="D15" s="15"/>
      <c r="E15" s="40"/>
      <c r="F15" s="156">
        <f>+'Anexo Ingresos'!C67</f>
        <v>0</v>
      </c>
      <c r="G15" s="156"/>
      <c r="H15" s="40">
        <f t="shared" ref="H15:H17" si="2">+G15-F15</f>
        <v>0</v>
      </c>
      <c r="I15" s="148" t="str">
        <f t="shared" ref="I15:I17" si="3">IF(E15=0,"S/P",+H15/E15)</f>
        <v>S/P</v>
      </c>
      <c r="J15" s="15"/>
    </row>
    <row r="16" spans="1:10" s="64" customFormat="1" ht="15" customHeight="1">
      <c r="A16" s="15"/>
      <c r="B16" s="25">
        <f>+'Anexo Ingresos'!B68</f>
        <v>0</v>
      </c>
      <c r="C16" s="15"/>
      <c r="D16" s="15"/>
      <c r="E16" s="40"/>
      <c r="F16" s="156">
        <f>+'Anexo Ingresos'!C68</f>
        <v>0</v>
      </c>
      <c r="G16" s="156"/>
      <c r="H16" s="40">
        <f t="shared" si="2"/>
        <v>0</v>
      </c>
      <c r="I16" s="148" t="str">
        <f t="shared" si="3"/>
        <v>S/P</v>
      </c>
      <c r="J16" s="15"/>
    </row>
    <row r="17" spans="1:9" s="64" customFormat="1" ht="15" hidden="1" customHeight="1">
      <c r="A17" s="15"/>
      <c r="B17" s="25" t="str">
        <f>+'Anexo Ingresos'!B69</f>
        <v>Administración 6</v>
      </c>
      <c r="C17" s="15"/>
      <c r="D17" s="15"/>
      <c r="E17" s="40"/>
      <c r="F17" s="156">
        <f>+'Anexo Ingresos'!C69</f>
        <v>0</v>
      </c>
      <c r="G17" s="156"/>
      <c r="H17" s="40">
        <f t="shared" si="2"/>
        <v>0</v>
      </c>
      <c r="I17" s="148" t="str">
        <f t="shared" si="3"/>
        <v>S/P</v>
      </c>
    </row>
    <row r="18" spans="1:9" s="64" customFormat="1" ht="15" hidden="1" customHeight="1">
      <c r="A18" s="15"/>
      <c r="B18" s="25" t="str">
        <f>+'Anexo Ingresos'!B73</f>
        <v>Donativos generales</v>
      </c>
      <c r="C18" s="15"/>
      <c r="D18" s="15"/>
      <c r="E18" s="40"/>
      <c r="F18" s="156">
        <f>+'Anexo Ingresos'!C73</f>
        <v>0</v>
      </c>
      <c r="G18" s="156"/>
      <c r="H18" s="40">
        <f t="shared" si="0"/>
        <v>0</v>
      </c>
      <c r="I18" s="148" t="str">
        <f t="shared" si="1"/>
        <v>S/P</v>
      </c>
    </row>
    <row r="19" spans="1:9" s="64" customFormat="1" ht="15" hidden="1" customHeight="1">
      <c r="A19" s="15"/>
      <c r="B19" s="25" t="str">
        <f>+'Anexo Ingresos'!B74</f>
        <v>Fundación José Otero</v>
      </c>
      <c r="C19" s="15"/>
      <c r="D19" s="15"/>
      <c r="E19" s="40"/>
      <c r="F19" s="156">
        <f>+'Anexo Ingresos'!C74</f>
        <v>0</v>
      </c>
      <c r="G19" s="156"/>
      <c r="H19" s="40">
        <f t="shared" si="0"/>
        <v>0</v>
      </c>
      <c r="I19" s="148" t="str">
        <f t="shared" si="1"/>
        <v>S/P</v>
      </c>
    </row>
    <row r="20" spans="1:9" s="64" customFormat="1" ht="15" hidden="1" customHeight="1">
      <c r="A20" s="15"/>
      <c r="B20" s="25" t="str">
        <f>+'Anexo Ingresos'!B75</f>
        <v>Fundación La Caixa</v>
      </c>
      <c r="C20" s="15"/>
      <c r="D20" s="15"/>
      <c r="E20" s="40"/>
      <c r="F20" s="156">
        <f>+'Anexo Ingresos'!C75</f>
        <v>0</v>
      </c>
      <c r="G20" s="156"/>
      <c r="H20" s="40">
        <f t="shared" si="0"/>
        <v>0</v>
      </c>
      <c r="I20" s="148" t="str">
        <f t="shared" si="1"/>
        <v>S/P</v>
      </c>
    </row>
    <row r="21" spans="1:9" s="64" customFormat="1" ht="15" hidden="1" customHeight="1">
      <c r="A21" s="15"/>
      <c r="B21" s="25" t="str">
        <f>+'Anexo Ingresos'!B76</f>
        <v>Colegio de Abogados</v>
      </c>
      <c r="C21" s="15"/>
      <c r="D21" s="15"/>
      <c r="E21" s="40"/>
      <c r="F21" s="156">
        <f>+'Anexo Ingresos'!C76</f>
        <v>0</v>
      </c>
      <c r="G21" s="156"/>
      <c r="H21" s="40">
        <f t="shared" ref="H21" si="4">+G21-F21</f>
        <v>0</v>
      </c>
      <c r="I21" s="148" t="str">
        <f t="shared" ref="I21" si="5">IF(E21=0,"S/P",+H21/E21)</f>
        <v>S/P</v>
      </c>
    </row>
    <row r="22" spans="1:9" ht="14.25" hidden="1" customHeight="1">
      <c r="B22" s="25" t="str">
        <f>+'Anexo Ingresos'!B77</f>
        <v>Fund amigo</v>
      </c>
      <c r="E22" s="149"/>
      <c r="F22" s="156">
        <f>+'Anexo Ingresos'!C77</f>
        <v>0</v>
      </c>
      <c r="G22" s="156"/>
      <c r="H22" s="40">
        <f t="shared" si="0"/>
        <v>0</v>
      </c>
      <c r="I22" s="148" t="str">
        <f t="shared" si="1"/>
        <v>S/P</v>
      </c>
    </row>
    <row r="23" spans="1:9" s="12" customFormat="1" ht="12.75">
      <c r="A23" s="341" t="s">
        <v>13</v>
      </c>
      <c r="B23" s="341"/>
      <c r="C23" s="341"/>
      <c r="D23" s="341"/>
      <c r="E23" s="342"/>
      <c r="F23" s="343"/>
      <c r="G23" s="343"/>
      <c r="H23" s="343">
        <f>+G23-F23</f>
        <v>0</v>
      </c>
      <c r="I23" s="344" t="str">
        <f>IF(F23=0,"S/P",+H23/F23)</f>
        <v>S/P</v>
      </c>
    </row>
    <row r="24" spans="1:9" s="64" customFormat="1" ht="15" customHeight="1">
      <c r="A24" s="15"/>
      <c r="B24" s="170" t="s">
        <v>14</v>
      </c>
      <c r="C24" s="15"/>
      <c r="D24" s="15"/>
      <c r="E24" s="46"/>
      <c r="F24" s="153"/>
      <c r="G24" s="46"/>
      <c r="H24" s="46"/>
      <c r="I24" s="47"/>
    </row>
    <row r="25" spans="1:9" s="63" customFormat="1" ht="16.5">
      <c r="A25" s="58" t="s">
        <v>138</v>
      </c>
      <c r="B25" s="59"/>
      <c r="C25" s="59"/>
      <c r="D25" s="59"/>
      <c r="E25" s="60"/>
      <c r="F25" s="61">
        <f>+F27+F33</f>
        <v>0</v>
      </c>
      <c r="G25" s="61">
        <f>+G27+G33</f>
        <v>0</v>
      </c>
      <c r="H25" s="61">
        <f>+G25-F25</f>
        <v>0</v>
      </c>
      <c r="I25" s="62" t="str">
        <f>IF(F25=0,"S/P",+H25/F25)</f>
        <v>S/P</v>
      </c>
    </row>
    <row r="26" spans="1:9" ht="10.5" customHeight="1">
      <c r="E26"/>
      <c r="F26" s="43"/>
      <c r="G26" s="46"/>
      <c r="H26" s="46"/>
      <c r="I26" s="47"/>
    </row>
    <row r="27" spans="1:9" s="12" customFormat="1" ht="12.75">
      <c r="A27" s="341" t="s">
        <v>16</v>
      </c>
      <c r="B27" s="341"/>
      <c r="C27" s="341"/>
      <c r="D27" s="341"/>
      <c r="E27" s="342"/>
      <c r="F27" s="343">
        <f>+SUM(F28:F32)</f>
        <v>0</v>
      </c>
      <c r="G27" s="343">
        <f t="shared" ref="G27:H27" si="6">+SUM(F28:F32)</f>
        <v>0</v>
      </c>
      <c r="H27" s="343">
        <f t="shared" si="6"/>
        <v>0</v>
      </c>
      <c r="I27" s="344" t="str">
        <f>IF(F27=0,"S/P",+H27/F27)</f>
        <v>S/P</v>
      </c>
    </row>
    <row r="28" spans="1:9" ht="15" customHeight="1">
      <c r="B28" s="25">
        <f>+'Anexo Ingresos'!B6</f>
        <v>0</v>
      </c>
      <c r="E28" s="40"/>
      <c r="F28" s="346">
        <f>+'Anexo Ingresos'!C6</f>
        <v>0</v>
      </c>
      <c r="G28" s="40"/>
      <c r="H28" s="40">
        <f>+G28-F28</f>
        <v>0</v>
      </c>
      <c r="I28" s="148" t="str">
        <f>IF(E28=0,"S/P",+G28/E28)</f>
        <v>S/P</v>
      </c>
    </row>
    <row r="29" spans="1:9" ht="15" customHeight="1">
      <c r="B29" s="25">
        <f>+'Anexo Ingresos'!B7</f>
        <v>0</v>
      </c>
      <c r="E29" s="40"/>
      <c r="F29" s="346">
        <f>+'Anexo Ingresos'!C7</f>
        <v>0</v>
      </c>
      <c r="G29" s="40"/>
      <c r="H29" s="40">
        <f>+G29-F29</f>
        <v>0</v>
      </c>
      <c r="I29" s="148" t="str">
        <f>IF(E29=0,"S/P",+G29/E29)</f>
        <v>S/P</v>
      </c>
    </row>
    <row r="30" spans="1:9" ht="15" customHeight="1">
      <c r="B30" s="25">
        <f>+'Anexo Ingresos'!B8</f>
        <v>0</v>
      </c>
      <c r="E30" s="40"/>
      <c r="F30" s="346">
        <f>+'Anexo Ingresos'!C8</f>
        <v>0</v>
      </c>
      <c r="G30" s="40"/>
      <c r="H30" s="40">
        <f>+G30-F30</f>
        <v>0</v>
      </c>
      <c r="I30" s="148" t="str">
        <f>IF(E30=0,"S/P",+G30/E30)</f>
        <v>S/P</v>
      </c>
    </row>
    <row r="31" spans="1:9" ht="15" customHeight="1">
      <c r="B31" s="25">
        <f>+'Anexo Ingresos'!B9</f>
        <v>0</v>
      </c>
      <c r="E31" s="40"/>
      <c r="F31" s="346">
        <f>+'Anexo Ingresos'!C9</f>
        <v>0</v>
      </c>
      <c r="G31" s="40"/>
      <c r="H31" s="40">
        <f>+G31-F31</f>
        <v>0</v>
      </c>
      <c r="I31" s="148" t="str">
        <f>IF(E31=0,"S/P",+G31/E31)</f>
        <v>S/P</v>
      </c>
    </row>
    <row r="32" spans="1:9" ht="15" customHeight="1">
      <c r="B32" s="25">
        <f>+'Anexo Ingresos'!B10</f>
        <v>0</v>
      </c>
      <c r="E32" s="40"/>
      <c r="F32" s="346">
        <f>+'Anexo Ingresos'!C10</f>
        <v>0</v>
      </c>
      <c r="G32" s="40"/>
      <c r="H32" s="40">
        <f>+G32-F32</f>
        <v>0</v>
      </c>
      <c r="I32" s="148" t="str">
        <f>IF(E32=0,"S/P",+G32/E32)</f>
        <v>S/P</v>
      </c>
    </row>
    <row r="33" spans="1:9" s="12" customFormat="1" ht="12.75">
      <c r="A33" s="341" t="s">
        <v>18</v>
      </c>
      <c r="B33" s="341"/>
      <c r="C33" s="341"/>
      <c r="D33" s="341"/>
      <c r="E33" s="342"/>
      <c r="F33" s="343">
        <f>+SUM(F34:F37)</f>
        <v>0</v>
      </c>
      <c r="G33" s="343">
        <f t="shared" ref="G33:H33" si="7">+SUM(F34:F37)</f>
        <v>0</v>
      </c>
      <c r="H33" s="343">
        <f t="shared" si="7"/>
        <v>0</v>
      </c>
      <c r="I33" s="344" t="str">
        <f>IF(F33=0,"S/P",+H33/F33)</f>
        <v>S/P</v>
      </c>
    </row>
    <row r="34" spans="1:9" ht="15" customHeight="1">
      <c r="B34" s="25">
        <f>+'Anexo Ingresos'!B18</f>
        <v>0</v>
      </c>
      <c r="E34" s="40"/>
      <c r="F34" s="346">
        <f>+'Anexo Ingresos'!C18</f>
        <v>0</v>
      </c>
      <c r="G34" s="40"/>
      <c r="H34" s="40">
        <f t="shared" ref="H34:H35" si="8">+G34-F34</f>
        <v>0</v>
      </c>
      <c r="I34" s="148" t="str">
        <f>IF(E34=0,"S/P",+G34/E34)</f>
        <v>S/P</v>
      </c>
    </row>
    <row r="35" spans="1:9" ht="15" customHeight="1">
      <c r="B35" s="25">
        <f>+'Anexo Ingresos'!B19</f>
        <v>0</v>
      </c>
      <c r="E35" s="40"/>
      <c r="F35" s="346">
        <f>+'Anexo Ingresos'!C19</f>
        <v>0</v>
      </c>
      <c r="G35" s="40"/>
      <c r="H35" s="40">
        <f t="shared" si="8"/>
        <v>0</v>
      </c>
      <c r="I35" s="148" t="str">
        <f>IF(E35=0,"S/P",+G35/E35)</f>
        <v>S/P</v>
      </c>
    </row>
    <row r="36" spans="1:9" ht="15" customHeight="1">
      <c r="B36" s="25">
        <f>+'Anexo Ingresos'!B20</f>
        <v>0</v>
      </c>
      <c r="E36" s="40"/>
      <c r="F36" s="346">
        <f>+'Anexo Ingresos'!C20</f>
        <v>0</v>
      </c>
      <c r="G36" s="40"/>
      <c r="H36" s="40">
        <f t="shared" ref="H36:H37" si="9">+G36-F36</f>
        <v>0</v>
      </c>
      <c r="I36" s="148" t="str">
        <f>IF(E36=0,"S/P",+G36/E36)</f>
        <v>S/P</v>
      </c>
    </row>
    <row r="37" spans="1:9" ht="15" customHeight="1">
      <c r="B37" s="25">
        <f>+'Anexo Ingresos'!B22</f>
        <v>0</v>
      </c>
      <c r="E37" s="40"/>
      <c r="F37" s="346">
        <f>+'Anexo Ingresos'!C22</f>
        <v>0</v>
      </c>
      <c r="G37" s="40"/>
      <c r="H37" s="40">
        <f t="shared" si="9"/>
        <v>0</v>
      </c>
      <c r="I37" s="148" t="str">
        <f>IF(E37=0,"S/P",+G37/E37)</f>
        <v>S/P</v>
      </c>
    </row>
    <row r="38" spans="1:9" s="63" customFormat="1" ht="16.5">
      <c r="A38" s="65" t="s">
        <v>20</v>
      </c>
      <c r="B38" s="66"/>
      <c r="C38" s="66"/>
      <c r="D38" s="66"/>
      <c r="E38" s="67"/>
      <c r="F38" s="68">
        <f>+SUM(F40:F47)</f>
        <v>0</v>
      </c>
      <c r="G38" s="68">
        <f>+SUM(G39:G47)</f>
        <v>0</v>
      </c>
      <c r="H38" s="68">
        <f>+SUM(H39:H47)</f>
        <v>0</v>
      </c>
      <c r="I38" s="69" t="str">
        <f>IF(F38=0,"S/P",+H38/F38)</f>
        <v>S/P</v>
      </c>
    </row>
    <row r="39" spans="1:9" s="63" customFormat="1" ht="9.75" customHeight="1"/>
    <row r="40" spans="1:9" s="12" customFormat="1" ht="12.75">
      <c r="A40" s="70" t="s">
        <v>21</v>
      </c>
      <c r="B40" s="70"/>
      <c r="C40" s="70"/>
      <c r="D40" s="70"/>
      <c r="E40" s="71"/>
      <c r="F40" s="72">
        <f>-'Anexo Gastos '!C199-'Anexo Gastos '!C205-'Anexo Gastos '!C211-'Anexo Gastos '!C217</f>
        <v>0</v>
      </c>
      <c r="G40" s="72"/>
      <c r="H40" s="72">
        <f>+G40-F40</f>
        <v>0</v>
      </c>
      <c r="I40" s="73" t="str">
        <f>IF(F40=0,"S/P",+H40/F40)</f>
        <v>S/P</v>
      </c>
    </row>
    <row r="41" spans="1:9" ht="12.75" customHeight="1">
      <c r="A41" s="74"/>
      <c r="B41" s="75" t="s">
        <v>22</v>
      </c>
      <c r="C41" s="74"/>
      <c r="D41" s="74"/>
      <c r="E41" s="76"/>
      <c r="F41" s="77"/>
      <c r="G41" s="78"/>
      <c r="H41" s="78"/>
      <c r="I41" s="78"/>
    </row>
    <row r="42" spans="1:9" s="12" customFormat="1" ht="12.75">
      <c r="A42" s="70" t="s">
        <v>23</v>
      </c>
      <c r="B42" s="70"/>
      <c r="C42" s="70"/>
      <c r="D42" s="70"/>
      <c r="E42" s="71"/>
      <c r="F42" s="72">
        <f>-'Anexo Gastos '!C227-'Anexo Gastos '!C233-'Anexo Gastos '!C239-'Anexo Gastos '!C245</f>
        <v>0</v>
      </c>
      <c r="G42" s="72"/>
      <c r="H42" s="72">
        <f>+G42-F42</f>
        <v>0</v>
      </c>
      <c r="I42" s="73" t="str">
        <f>IF(F42=0,"S/P",+H42/F42)</f>
        <v>S/P</v>
      </c>
    </row>
    <row r="43" spans="1:9" ht="12.75" customHeight="1">
      <c r="A43" s="74"/>
      <c r="B43" s="75" t="s">
        <v>24</v>
      </c>
      <c r="C43" s="74"/>
      <c r="D43" s="74"/>
      <c r="E43" s="76"/>
      <c r="F43" s="77"/>
      <c r="G43" s="78"/>
      <c r="H43" s="78"/>
      <c r="I43" s="78"/>
    </row>
    <row r="44" spans="1:9" s="12" customFormat="1" ht="12.75">
      <c r="A44" s="70" t="s">
        <v>25</v>
      </c>
      <c r="B44" s="70"/>
      <c r="C44" s="70"/>
      <c r="D44" s="70"/>
      <c r="E44" s="71"/>
      <c r="F44" s="72">
        <f>-'Anexo Gastos '!C257</f>
        <v>0</v>
      </c>
      <c r="G44" s="72"/>
      <c r="H44" s="72">
        <f>+G44-F44</f>
        <v>0</v>
      </c>
      <c r="I44" s="73" t="str">
        <f>IF(F44=0,"S/P",+H44/F44)</f>
        <v>S/P</v>
      </c>
    </row>
    <row r="45" spans="1:9" ht="12.75" customHeight="1">
      <c r="A45" s="74"/>
      <c r="B45" s="75" t="s">
        <v>26</v>
      </c>
      <c r="C45" s="74"/>
      <c r="D45" s="74"/>
      <c r="E45" s="76"/>
      <c r="F45" s="77"/>
      <c r="G45" s="78"/>
      <c r="H45" s="78"/>
      <c r="I45" s="78"/>
    </row>
    <row r="46" spans="1:9" s="12" customFormat="1" ht="12.75">
      <c r="A46" s="70" t="s">
        <v>27</v>
      </c>
      <c r="B46" s="70"/>
      <c r="C46" s="70"/>
      <c r="D46" s="70"/>
      <c r="E46" s="71"/>
      <c r="F46" s="72">
        <f>-'Anexo Gastos '!C269</f>
        <v>0</v>
      </c>
      <c r="G46" s="72"/>
      <c r="H46" s="72">
        <f>+G46-F46</f>
        <v>0</v>
      </c>
      <c r="I46" s="73" t="str">
        <f>IF(F46=0,"S/P",+H46/F46)</f>
        <v>S/P</v>
      </c>
    </row>
    <row r="47" spans="1:9" ht="12.75" customHeight="1">
      <c r="A47" s="74"/>
      <c r="B47" s="75" t="s">
        <v>28</v>
      </c>
      <c r="C47" s="74"/>
      <c r="D47" s="74"/>
      <c r="E47" s="76"/>
      <c r="F47" s="77"/>
      <c r="G47" s="78"/>
      <c r="H47" s="78"/>
      <c r="I47" s="78"/>
    </row>
    <row r="48" spans="1:9" s="63" customFormat="1" ht="16.5">
      <c r="A48" s="108" t="s">
        <v>29</v>
      </c>
      <c r="B48" s="109"/>
      <c r="C48" s="109"/>
      <c r="D48" s="109"/>
      <c r="E48" s="110"/>
      <c r="F48" s="111">
        <f>+F50</f>
        <v>0</v>
      </c>
      <c r="G48" s="111">
        <f>+G50</f>
        <v>0</v>
      </c>
      <c r="H48" s="111">
        <f>+G48-F48</f>
        <v>0</v>
      </c>
      <c r="I48" s="143" t="str">
        <f>IF(F48=0,"S/P",+H48/F48)</f>
        <v>S/P</v>
      </c>
    </row>
    <row r="49" spans="1:10" s="63" customFormat="1" ht="9.75" customHeight="1">
      <c r="A49" s="112"/>
      <c r="B49" s="112"/>
      <c r="C49" s="112"/>
      <c r="D49" s="112"/>
      <c r="E49" s="112"/>
      <c r="F49" s="112"/>
      <c r="G49" s="112"/>
      <c r="H49" s="112"/>
      <c r="I49" s="112"/>
    </row>
    <row r="50" spans="1:10" s="12" customFormat="1" ht="12.75">
      <c r="A50" s="113" t="s">
        <v>30</v>
      </c>
      <c r="B50" s="113"/>
      <c r="C50" s="113"/>
      <c r="D50" s="113"/>
      <c r="E50" s="114"/>
      <c r="F50" s="115"/>
      <c r="G50" s="115"/>
      <c r="H50" s="115">
        <f>+G50-F50</f>
        <v>0</v>
      </c>
      <c r="I50" s="144" t="str">
        <f>IF(F50=0,"S/P",+H50/F50)</f>
        <v>S/P</v>
      </c>
      <c r="J50" s="170"/>
    </row>
    <row r="51" spans="1:10" ht="12.75" customHeight="1">
      <c r="A51" s="116"/>
      <c r="B51" s="117" t="s">
        <v>31</v>
      </c>
      <c r="C51" s="116"/>
      <c r="D51" s="116"/>
      <c r="E51" s="118"/>
      <c r="F51" s="119"/>
      <c r="G51" s="78"/>
      <c r="H51" s="78"/>
      <c r="I51" s="78"/>
    </row>
    <row r="52" spans="1:10" s="63" customFormat="1" ht="16.5">
      <c r="A52" s="58" t="s">
        <v>139</v>
      </c>
      <c r="B52" s="59"/>
      <c r="C52" s="59"/>
      <c r="D52" s="59"/>
      <c r="E52" s="60"/>
      <c r="F52" s="61">
        <f>+F54</f>
        <v>0</v>
      </c>
      <c r="G52" s="61">
        <f>+G54</f>
        <v>0</v>
      </c>
      <c r="H52" s="61">
        <f>+H54</f>
        <v>0</v>
      </c>
      <c r="I52" s="62" t="str">
        <f>IF(F52=0,"S/P",+H52/F52)</f>
        <v>S/P</v>
      </c>
    </row>
    <row r="53" spans="1:10" s="63" customFormat="1" ht="9.75" customHeight="1"/>
    <row r="54" spans="1:10" s="12" customFormat="1" ht="12.75">
      <c r="A54" s="341" t="s">
        <v>140</v>
      </c>
      <c r="B54" s="341"/>
      <c r="C54" s="341"/>
      <c r="D54" s="341"/>
      <c r="E54" s="342"/>
      <c r="F54" s="343"/>
      <c r="G54" s="343"/>
      <c r="H54" s="343">
        <f>+G54-F54</f>
        <v>0</v>
      </c>
      <c r="I54" s="344" t="str">
        <f>IF(F54=0,"S/P",+H54/F54)</f>
        <v>S/P</v>
      </c>
      <c r="J54" s="170"/>
    </row>
    <row r="55" spans="1:10" ht="12.75" customHeight="1">
      <c r="A55" s="170"/>
      <c r="B55" s="25" t="s">
        <v>34</v>
      </c>
      <c r="C55" s="170"/>
      <c r="D55" s="170"/>
      <c r="E55" s="348"/>
      <c r="F55" s="43"/>
      <c r="G55" s="120"/>
      <c r="H55" s="120"/>
      <c r="I55" s="120"/>
    </row>
    <row r="56" spans="1:10" s="63" customFormat="1" ht="16.5">
      <c r="A56" s="65" t="s">
        <v>35</v>
      </c>
      <c r="B56" s="66"/>
      <c r="C56" s="66"/>
      <c r="D56" s="66"/>
      <c r="E56" s="67"/>
      <c r="F56" s="68">
        <f>+F58+F70+F77</f>
        <v>0</v>
      </c>
      <c r="G56" s="68">
        <f>+G58+G70+G77</f>
        <v>0</v>
      </c>
      <c r="H56" s="68">
        <f>+H58+H70+H77</f>
        <v>0</v>
      </c>
      <c r="I56" s="69" t="str">
        <f>IF(F56=0,"S/P",+H56/F56)</f>
        <v>S/P</v>
      </c>
    </row>
    <row r="57" spans="1:10" s="63" customFormat="1" ht="9.75" customHeight="1"/>
    <row r="58" spans="1:10" s="12" customFormat="1" ht="12.75">
      <c r="A58" s="70" t="s">
        <v>36</v>
      </c>
      <c r="B58" s="70"/>
      <c r="C58" s="70"/>
      <c r="D58" s="70"/>
      <c r="E58" s="71"/>
      <c r="F58" s="72">
        <f>+SUM(F59:F63)</f>
        <v>0</v>
      </c>
      <c r="G58" s="72">
        <f>+SUM(G59:G63)</f>
        <v>0</v>
      </c>
      <c r="H58" s="72">
        <f>+SUM(H59:H63)</f>
        <v>0</v>
      </c>
      <c r="I58" s="73" t="str">
        <f>IF(F58=0,"S/P",+H58/F58)</f>
        <v>S/P</v>
      </c>
      <c r="J58" s="345"/>
    </row>
    <row r="59" spans="1:10" s="15" customFormat="1" ht="12.75" customHeight="1">
      <c r="A59" s="79"/>
      <c r="B59" s="75" t="str">
        <f>+'Anexo Gastos '!B6</f>
        <v>Material Actividades</v>
      </c>
      <c r="C59" s="79"/>
      <c r="D59" s="79"/>
      <c r="E59" s="150"/>
      <c r="F59" s="146">
        <f>-'Anexo Gastos '!C6</f>
        <v>0</v>
      </c>
      <c r="G59" s="146"/>
      <c r="H59" s="146">
        <f>+G59-F59</f>
        <v>0</v>
      </c>
      <c r="I59" s="147" t="str">
        <f>IF(E59=0,"S/P",+H59/E59)</f>
        <v>S/P</v>
      </c>
    </row>
    <row r="60" spans="1:10" s="15" customFormat="1" ht="12.75" customHeight="1">
      <c r="A60" s="79"/>
      <c r="B60" s="75" t="str">
        <f>+'Anexo Gastos '!B7</f>
        <v>Viveres</v>
      </c>
      <c r="C60" s="79"/>
      <c r="D60" s="79"/>
      <c r="E60" s="150"/>
      <c r="F60" s="146">
        <f>-'Anexo Gastos '!C7</f>
        <v>0</v>
      </c>
      <c r="G60" s="146"/>
      <c r="H60" s="146">
        <f t="shared" ref="H60:H80" si="10">+G60-F60</f>
        <v>0</v>
      </c>
      <c r="I60" s="147" t="str">
        <f t="shared" ref="I60:I63" si="11">IF(E60=0,"S/P",+H60/E60)</f>
        <v>S/P</v>
      </c>
    </row>
    <row r="61" spans="1:10" s="15" customFormat="1" ht="12.75" customHeight="1">
      <c r="A61" s="79"/>
      <c r="B61" s="75" t="str">
        <f>+'Anexo Gastos '!B8</f>
        <v>Ajuar, Lencería y Menaje</v>
      </c>
      <c r="C61" s="79"/>
      <c r="D61" s="79"/>
      <c r="E61" s="150"/>
      <c r="F61" s="146">
        <f>-'Anexo Gastos '!C8</f>
        <v>0</v>
      </c>
      <c r="G61" s="146"/>
      <c r="H61" s="146">
        <f t="shared" si="10"/>
        <v>0</v>
      </c>
      <c r="I61" s="147" t="str">
        <f t="shared" si="11"/>
        <v>S/P</v>
      </c>
    </row>
    <row r="62" spans="1:10" s="15" customFormat="1" ht="12.75" hidden="1" customHeight="1">
      <c r="A62" s="79"/>
      <c r="B62" s="75">
        <f>+'Anexo Gastos '!B9</f>
        <v>0</v>
      </c>
      <c r="C62" s="79"/>
      <c r="D62" s="79"/>
      <c r="E62" s="150"/>
      <c r="F62" s="146">
        <f>-'Anexo Gastos '!C9</f>
        <v>0</v>
      </c>
      <c r="G62" s="146"/>
      <c r="H62" s="146">
        <f t="shared" si="10"/>
        <v>0</v>
      </c>
      <c r="I62" s="147" t="str">
        <f t="shared" si="11"/>
        <v>S/P</v>
      </c>
    </row>
    <row r="63" spans="1:10" s="15" customFormat="1" ht="12.75" hidden="1" customHeight="1">
      <c r="A63" s="79"/>
      <c r="B63" s="75">
        <f>+'Anexo Gastos '!B10</f>
        <v>0</v>
      </c>
      <c r="C63" s="79"/>
      <c r="D63" s="79"/>
      <c r="E63" s="150"/>
      <c r="F63" s="146">
        <f>-'Anexo Gastos '!C10</f>
        <v>0</v>
      </c>
      <c r="G63" s="146"/>
      <c r="H63" s="146">
        <f t="shared" si="10"/>
        <v>0</v>
      </c>
      <c r="I63" s="147" t="str">
        <f t="shared" si="11"/>
        <v>S/P</v>
      </c>
    </row>
    <row r="64" spans="1:10" s="12" customFormat="1" ht="12.75" hidden="1">
      <c r="A64" s="70" t="s">
        <v>38</v>
      </c>
      <c r="B64" s="70"/>
      <c r="C64" s="70"/>
      <c r="D64" s="70"/>
      <c r="E64" s="71"/>
      <c r="F64" s="72">
        <f>+SUM(E65:E69)</f>
        <v>0</v>
      </c>
      <c r="G64" s="72">
        <f>+SUM(G65:G69)</f>
        <v>0</v>
      </c>
      <c r="H64" s="72">
        <f>+SUM(H65:H69)</f>
        <v>0</v>
      </c>
      <c r="I64" s="73" t="str">
        <f>IF(F64=0,"S/P",+H64/F64)</f>
        <v>S/P</v>
      </c>
      <c r="J64" s="170"/>
    </row>
    <row r="65" spans="1:10" s="15" customFormat="1" ht="12.75" hidden="1" customHeight="1">
      <c r="A65" s="79"/>
      <c r="B65" s="75" t="str">
        <f>+'Anexo Gastos '!B19</f>
        <v>Materias primas talleres</v>
      </c>
      <c r="C65" s="79"/>
      <c r="D65" s="79"/>
      <c r="E65" s="150"/>
      <c r="F65" s="146">
        <f>-'Anexo Gastos '!C19</f>
        <v>0</v>
      </c>
      <c r="G65" s="146"/>
      <c r="H65" s="146">
        <f t="shared" si="10"/>
        <v>0</v>
      </c>
      <c r="I65" s="147" t="str">
        <f>IF(E65=0,"S/P",+H65/E65)</f>
        <v>S/P</v>
      </c>
    </row>
    <row r="66" spans="1:10" s="15" customFormat="1" ht="12.75" hidden="1" customHeight="1">
      <c r="A66" s="79"/>
      <c r="B66" s="75" t="str">
        <f>+'Anexo Gastos '!B20</f>
        <v>Producto 2</v>
      </c>
      <c r="C66" s="79"/>
      <c r="D66" s="79"/>
      <c r="E66" s="150"/>
      <c r="F66" s="146">
        <f>-'Anexo Gastos '!C20</f>
        <v>0</v>
      </c>
      <c r="G66" s="146"/>
      <c r="H66" s="146">
        <f t="shared" si="10"/>
        <v>0</v>
      </c>
      <c r="I66" s="147" t="str">
        <f t="shared" ref="I66:I69" si="12">IF(E66=0,"S/P",+H66/E66)</f>
        <v>S/P</v>
      </c>
    </row>
    <row r="67" spans="1:10" s="15" customFormat="1" ht="12.75" hidden="1" customHeight="1">
      <c r="A67" s="79"/>
      <c r="B67" s="75" t="str">
        <f>+'Anexo Gastos '!B21</f>
        <v>Producto 3</v>
      </c>
      <c r="C67" s="79"/>
      <c r="D67" s="79"/>
      <c r="E67" s="150"/>
      <c r="F67" s="146">
        <f>-'Anexo Gastos '!C21</f>
        <v>0</v>
      </c>
      <c r="G67" s="146"/>
      <c r="H67" s="146">
        <f t="shared" si="10"/>
        <v>0</v>
      </c>
      <c r="I67" s="147" t="str">
        <f t="shared" si="12"/>
        <v>S/P</v>
      </c>
    </row>
    <row r="68" spans="1:10" s="15" customFormat="1" ht="12.75" hidden="1" customHeight="1">
      <c r="A68" s="79"/>
      <c r="B68" s="75" t="str">
        <f>+'Anexo Gastos '!B22</f>
        <v>Producto 4</v>
      </c>
      <c r="C68" s="79"/>
      <c r="D68" s="79"/>
      <c r="E68" s="150"/>
      <c r="F68" s="146">
        <f>-'Anexo Gastos '!C22</f>
        <v>0</v>
      </c>
      <c r="G68" s="146"/>
      <c r="H68" s="146">
        <f t="shared" si="10"/>
        <v>0</v>
      </c>
      <c r="I68" s="147" t="str">
        <f t="shared" si="12"/>
        <v>S/P</v>
      </c>
    </row>
    <row r="69" spans="1:10" s="15" customFormat="1" ht="12.75" hidden="1" customHeight="1">
      <c r="A69" s="79"/>
      <c r="B69" s="75" t="str">
        <f>+'Anexo Gastos '!B23</f>
        <v>Producto 5</v>
      </c>
      <c r="C69" s="79"/>
      <c r="D69" s="79"/>
      <c r="E69" s="150"/>
      <c r="F69" s="146">
        <f>-'Anexo Gastos '!C23</f>
        <v>0</v>
      </c>
      <c r="G69" s="146"/>
      <c r="H69" s="146">
        <f t="shared" si="10"/>
        <v>0</v>
      </c>
      <c r="I69" s="147" t="str">
        <f t="shared" si="12"/>
        <v>S/P</v>
      </c>
    </row>
    <row r="70" spans="1:10" s="12" customFormat="1" ht="12.75">
      <c r="A70" s="70" t="s">
        <v>141</v>
      </c>
      <c r="B70" s="70"/>
      <c r="C70" s="70"/>
      <c r="D70" s="70"/>
      <c r="E70" s="71"/>
      <c r="F70" s="72">
        <f>SUM(F71:F76)</f>
        <v>0</v>
      </c>
      <c r="G70" s="72">
        <f>+SUM(G71:G74)</f>
        <v>0</v>
      </c>
      <c r="H70" s="72">
        <f>+SUM(H71:H74)</f>
        <v>0</v>
      </c>
      <c r="I70" s="73" t="str">
        <f>IF(F70=0,"S/P",+H70/F70)</f>
        <v>S/P</v>
      </c>
      <c r="J70" s="345"/>
    </row>
    <row r="71" spans="1:10" s="15" customFormat="1" ht="12.75" customHeight="1">
      <c r="A71" s="79"/>
      <c r="B71" s="75" t="str">
        <f>+'Anexo Gastos '!B31</f>
        <v>Material Limpeza y aseo</v>
      </c>
      <c r="C71" s="79"/>
      <c r="D71" s="79"/>
      <c r="E71" s="150"/>
      <c r="F71" s="146">
        <f>-'Anexo Gastos '!C31</f>
        <v>0</v>
      </c>
      <c r="G71" s="146"/>
      <c r="H71" s="146">
        <f t="shared" si="10"/>
        <v>0</v>
      </c>
      <c r="I71" s="147" t="str">
        <f>IF(E71=0,"S/P",+H71/E71)</f>
        <v>S/P</v>
      </c>
    </row>
    <row r="72" spans="1:10" s="15" customFormat="1" ht="12.75" customHeight="1">
      <c r="A72" s="79"/>
      <c r="B72" s="75" t="str">
        <f>+'Anexo Gastos '!B32</f>
        <v>Lavanderia-Compras</v>
      </c>
      <c r="C72" s="79"/>
      <c r="D72" s="79"/>
      <c r="E72" s="150"/>
      <c r="F72" s="146">
        <f>-'Anexo Gastos '!C32</f>
        <v>0</v>
      </c>
      <c r="G72" s="146"/>
      <c r="H72" s="146">
        <f t="shared" si="10"/>
        <v>0</v>
      </c>
      <c r="I72" s="147" t="str">
        <f t="shared" ref="I72:I74" si="13">IF(E72=0,"S/P",+H72/E72)</f>
        <v>S/P</v>
      </c>
    </row>
    <row r="73" spans="1:10" s="15" customFormat="1" ht="12.75" customHeight="1">
      <c r="A73" s="79"/>
      <c r="B73" s="75" t="str">
        <f>+'Anexo Gastos '!B33</f>
        <v>Material Sanitario e Farmaceutico</v>
      </c>
      <c r="C73" s="79"/>
      <c r="D73" s="79"/>
      <c r="E73" s="150"/>
      <c r="F73" s="146">
        <f>-'Anexo Gastos '!C33</f>
        <v>0</v>
      </c>
      <c r="G73" s="146"/>
      <c r="H73" s="146">
        <f t="shared" si="10"/>
        <v>0</v>
      </c>
      <c r="I73" s="147" t="str">
        <f t="shared" si="13"/>
        <v>S/P</v>
      </c>
    </row>
    <row r="74" spans="1:10" s="15" customFormat="1" ht="12.75" customHeight="1">
      <c r="A74" s="79"/>
      <c r="B74" s="75">
        <f>+'Anexo Gastos '!B34</f>
        <v>0</v>
      </c>
      <c r="C74" s="79"/>
      <c r="D74" s="79"/>
      <c r="E74" s="150"/>
      <c r="F74" s="146">
        <f>-'Anexo Gastos '!C34</f>
        <v>0</v>
      </c>
      <c r="G74" s="146"/>
      <c r="H74" s="146">
        <f t="shared" si="10"/>
        <v>0</v>
      </c>
      <c r="I74" s="147" t="str">
        <f t="shared" si="13"/>
        <v>S/P</v>
      </c>
    </row>
    <row r="75" spans="1:10" s="15" customFormat="1" ht="12.75" customHeight="1">
      <c r="A75" s="79"/>
      <c r="B75" s="75">
        <f>+'Anexo Gastos '!B35</f>
        <v>0</v>
      </c>
      <c r="C75" s="79"/>
      <c r="D75" s="79"/>
      <c r="E75" s="150"/>
      <c r="F75" s="146">
        <f>-'Anexo Gastos '!C35</f>
        <v>0</v>
      </c>
      <c r="G75" s="146"/>
      <c r="H75" s="146"/>
      <c r="I75" s="147"/>
    </row>
    <row r="76" spans="1:10" s="15" customFormat="1" ht="12.75" customHeight="1">
      <c r="A76" s="79"/>
      <c r="B76" s="75" t="str">
        <f>+'Anexo Gastos '!B36</f>
        <v>Compras Otros aprovisionamientos</v>
      </c>
      <c r="C76" s="79"/>
      <c r="D76" s="79"/>
      <c r="E76" s="150"/>
      <c r="F76" s="146">
        <f>-'Anexo Gastos '!C36</f>
        <v>0</v>
      </c>
      <c r="G76" s="146"/>
      <c r="H76" s="146"/>
      <c r="I76" s="147"/>
    </row>
    <row r="77" spans="1:10" s="12" customFormat="1" ht="12.75">
      <c r="A77" s="70" t="s">
        <v>42</v>
      </c>
      <c r="B77" s="70"/>
      <c r="C77" s="70"/>
      <c r="D77" s="70"/>
      <c r="E77" s="71"/>
      <c r="F77" s="72">
        <f>SUM(F78:F82)</f>
        <v>0</v>
      </c>
      <c r="G77" s="72">
        <f>+SUM(G78:G80)</f>
        <v>0</v>
      </c>
      <c r="H77" s="72">
        <f>+SUM(H78:H80)</f>
        <v>0</v>
      </c>
      <c r="I77" s="73" t="str">
        <f>IF(F77=0,"S/P",+H77/F77)</f>
        <v>S/P</v>
      </c>
      <c r="J77" s="170"/>
    </row>
    <row r="78" spans="1:10" s="15" customFormat="1" ht="12.75" customHeight="1">
      <c r="A78" s="79"/>
      <c r="B78" s="75" t="str">
        <f>+'Anexo Gastos '!B44</f>
        <v>Desratización e Higienización</v>
      </c>
      <c r="C78" s="79"/>
      <c r="D78" s="79"/>
      <c r="E78" s="150"/>
      <c r="F78" s="146">
        <f>-'Anexo Gastos '!C44</f>
        <v>0</v>
      </c>
      <c r="G78" s="146"/>
      <c r="H78" s="146">
        <f t="shared" si="10"/>
        <v>0</v>
      </c>
      <c r="I78" s="147" t="str">
        <f>IF(E78=0,"S/P",+H78/E78)</f>
        <v>S/P</v>
      </c>
    </row>
    <row r="79" spans="1:10" s="15" customFormat="1" ht="12.75" customHeight="1">
      <c r="A79" s="79"/>
      <c r="B79" s="75" t="str">
        <f>+'Anexo Gastos '!B45</f>
        <v>Gastos Actividades</v>
      </c>
      <c r="C79" s="79"/>
      <c r="D79" s="79"/>
      <c r="E79" s="150"/>
      <c r="F79" s="146">
        <f>-'Anexo Gastos '!C45</f>
        <v>0</v>
      </c>
      <c r="G79" s="146"/>
      <c r="H79" s="146">
        <f t="shared" si="10"/>
        <v>0</v>
      </c>
      <c r="I79" s="147" t="str">
        <f t="shared" ref="I79:I80" si="14">IF(E79=0,"S/P",+H79/E79)</f>
        <v>S/P</v>
      </c>
    </row>
    <row r="80" spans="1:10" s="15" customFormat="1" ht="12.75" customHeight="1">
      <c r="A80" s="79"/>
      <c r="B80" s="75" t="str">
        <f>+'Anexo Gastos '!B46</f>
        <v>Ajuste social, ocio y tiempo libre</v>
      </c>
      <c r="C80" s="79"/>
      <c r="D80" s="79"/>
      <c r="E80" s="150"/>
      <c r="F80" s="146">
        <f>-'Anexo Gastos '!C46</f>
        <v>0</v>
      </c>
      <c r="G80" s="146"/>
      <c r="H80" s="146">
        <f t="shared" si="10"/>
        <v>0</v>
      </c>
      <c r="I80" s="147" t="str">
        <f t="shared" si="14"/>
        <v>S/P</v>
      </c>
    </row>
    <row r="81" spans="1:10" s="15" customFormat="1" ht="12.75" customHeight="1">
      <c r="A81" s="79"/>
      <c r="B81" s="75" t="str">
        <f>+'Anexo Gastos '!B47</f>
        <v>Gasto Transporte</v>
      </c>
      <c r="C81" s="79"/>
      <c r="D81" s="79"/>
      <c r="E81" s="150"/>
      <c r="F81" s="146">
        <f>-'Anexo Gastos '!C47</f>
        <v>0</v>
      </c>
      <c r="G81" s="146"/>
      <c r="H81" s="146"/>
      <c r="I81" s="147"/>
    </row>
    <row r="82" spans="1:10" s="15" customFormat="1" ht="12.75" customHeight="1">
      <c r="A82" s="79"/>
      <c r="B82" s="75" t="str">
        <f>+'Anexo Gastos '!B48</f>
        <v>Servicios de Lavandería (CEE)</v>
      </c>
      <c r="C82" s="79"/>
      <c r="D82" s="79"/>
      <c r="E82" s="150"/>
      <c r="F82" s="146">
        <f>-'Anexo Gastos '!C48</f>
        <v>0</v>
      </c>
      <c r="G82" s="146"/>
      <c r="H82" s="146"/>
      <c r="I82" s="147"/>
    </row>
    <row r="83" spans="1:10" s="15" customFormat="1" ht="12.75" hidden="1" customHeight="1">
      <c r="A83" s="79"/>
      <c r="B83" s="75"/>
      <c r="C83" s="79"/>
      <c r="D83" s="79"/>
      <c r="E83" s="150"/>
      <c r="F83" s="146">
        <f>-'Anexo Gastos '!C47</f>
        <v>0</v>
      </c>
      <c r="G83" s="146"/>
      <c r="H83" s="146"/>
      <c r="I83" s="147"/>
    </row>
    <row r="84" spans="1:10" s="63" customFormat="1" ht="16.5" hidden="1">
      <c r="A84" s="58" t="s">
        <v>44</v>
      </c>
      <c r="B84" s="59"/>
      <c r="C84" s="59"/>
      <c r="D84" s="59"/>
      <c r="E84" s="60"/>
      <c r="F84" s="61">
        <f>+SUM(F86:F95)</f>
        <v>0</v>
      </c>
      <c r="G84" s="61">
        <f>+SUM(G85:G95)</f>
        <v>0</v>
      </c>
      <c r="H84" s="61">
        <f>+SUM(H85:H95)</f>
        <v>0</v>
      </c>
      <c r="I84" s="62" t="str">
        <f>IF(F84=0,"S/P",+H84/F84)</f>
        <v>S/P</v>
      </c>
    </row>
    <row r="85" spans="1:10" s="63" customFormat="1" ht="9.75" hidden="1" customHeight="1"/>
    <row r="86" spans="1:10" s="12" customFormat="1" ht="12.75" hidden="1">
      <c r="A86" s="341" t="s">
        <v>142</v>
      </c>
      <c r="B86" s="341"/>
      <c r="C86" s="341"/>
      <c r="D86" s="341"/>
      <c r="E86" s="342"/>
      <c r="F86" s="343">
        <f>+'Anexo Ingresos'!C87</f>
        <v>0</v>
      </c>
      <c r="G86" s="343"/>
      <c r="H86" s="343">
        <f>+G86-F86</f>
        <v>0</v>
      </c>
      <c r="I86" s="344" t="str">
        <f>IF(F86=0,"S/P",+H86/F86)</f>
        <v>S/P</v>
      </c>
      <c r="J86" s="170"/>
    </row>
    <row r="87" spans="1:10" s="12" customFormat="1" ht="12.75" hidden="1" customHeight="1">
      <c r="A87" s="170"/>
      <c r="B87" s="25" t="s">
        <v>46</v>
      </c>
      <c r="C87" s="170"/>
      <c r="D87" s="170"/>
      <c r="E87" s="348"/>
      <c r="F87" s="43"/>
      <c r="G87" s="120"/>
      <c r="H87" s="120"/>
      <c r="I87" s="120"/>
      <c r="J87" s="170"/>
    </row>
    <row r="88" spans="1:10" s="12" customFormat="1" ht="12.75" hidden="1">
      <c r="A88" s="341" t="s">
        <v>47</v>
      </c>
      <c r="B88" s="341"/>
      <c r="C88" s="341"/>
      <c r="D88" s="341"/>
      <c r="E88" s="342"/>
      <c r="F88" s="343"/>
      <c r="G88" s="343"/>
      <c r="H88" s="343">
        <f>+G88-F88</f>
        <v>0</v>
      </c>
      <c r="I88" s="344" t="str">
        <f>IF(F88=0,"S/P",+H88/F88)</f>
        <v>S/P</v>
      </c>
      <c r="J88" s="170"/>
    </row>
    <row r="89" spans="1:10" s="12" customFormat="1" ht="12.75" hidden="1" customHeight="1">
      <c r="A89" s="170"/>
      <c r="B89" s="25" t="s">
        <v>143</v>
      </c>
      <c r="C89" s="170"/>
      <c r="D89" s="170"/>
      <c r="E89" s="348"/>
      <c r="F89" s="43"/>
      <c r="G89" s="120"/>
      <c r="H89" s="120"/>
      <c r="I89" s="120"/>
      <c r="J89" s="170"/>
    </row>
    <row r="90" spans="1:10" s="12" customFormat="1" ht="12.75" hidden="1">
      <c r="A90" s="341" t="s">
        <v>144</v>
      </c>
      <c r="B90" s="341"/>
      <c r="C90" s="341"/>
      <c r="D90" s="341"/>
      <c r="E90" s="342"/>
      <c r="F90" s="343"/>
      <c r="G90" s="343"/>
      <c r="H90" s="343">
        <f>+G90-F90</f>
        <v>0</v>
      </c>
      <c r="I90" s="344" t="str">
        <f>IF(F90=0,"S/P",+H90/F90)</f>
        <v>S/P</v>
      </c>
      <c r="J90" s="170"/>
    </row>
    <row r="91" spans="1:10" s="12" customFormat="1" ht="12.75" hidden="1" customHeight="1">
      <c r="A91" s="170"/>
      <c r="B91" s="25" t="s">
        <v>50</v>
      </c>
      <c r="C91" s="170"/>
      <c r="D91" s="170"/>
      <c r="E91" s="348"/>
      <c r="F91" s="43"/>
      <c r="G91" s="120"/>
      <c r="H91" s="120"/>
      <c r="I91" s="120"/>
      <c r="J91" s="170"/>
    </row>
    <row r="92" spans="1:10" s="12" customFormat="1" ht="12.75" hidden="1">
      <c r="A92" s="341" t="s">
        <v>145</v>
      </c>
      <c r="B92" s="341"/>
      <c r="C92" s="341"/>
      <c r="D92" s="341"/>
      <c r="E92" s="342"/>
      <c r="F92" s="343"/>
      <c r="G92" s="343"/>
      <c r="H92" s="343">
        <f>+G92-F92</f>
        <v>0</v>
      </c>
      <c r="I92" s="344" t="str">
        <f>IF(F92=0,"S/P",+H92/F92)</f>
        <v>S/P</v>
      </c>
      <c r="J92" s="170"/>
    </row>
    <row r="93" spans="1:10" s="12" customFormat="1" ht="12.75" hidden="1" customHeight="1">
      <c r="A93" s="170"/>
      <c r="B93" s="25" t="s">
        <v>146</v>
      </c>
      <c r="C93" s="170"/>
      <c r="D93" s="170"/>
      <c r="E93" s="348"/>
      <c r="F93" s="43"/>
      <c r="G93" s="120"/>
      <c r="H93" s="120"/>
      <c r="I93" s="120"/>
      <c r="J93" s="170"/>
    </row>
    <row r="94" spans="1:10" s="12" customFormat="1" ht="12.75" hidden="1">
      <c r="A94" s="341" t="s">
        <v>53</v>
      </c>
      <c r="B94" s="341"/>
      <c r="C94" s="341"/>
      <c r="D94" s="341"/>
      <c r="E94" s="342"/>
      <c r="F94" s="343"/>
      <c r="G94" s="343"/>
      <c r="H94" s="343">
        <f>+G94-F94</f>
        <v>0</v>
      </c>
      <c r="I94" s="344" t="str">
        <f>IF(F94=0,"S/P",+H94/F94)</f>
        <v>S/P</v>
      </c>
      <c r="J94" s="170"/>
    </row>
    <row r="95" spans="1:10" s="12" customFormat="1" ht="12.75" hidden="1" customHeight="1">
      <c r="A95" s="170"/>
      <c r="B95" s="25" t="s">
        <v>54</v>
      </c>
      <c r="C95" s="170"/>
      <c r="D95" s="170"/>
      <c r="E95" s="348"/>
      <c r="F95" s="43"/>
      <c r="G95" s="120"/>
      <c r="H95" s="120"/>
      <c r="I95" s="120"/>
      <c r="J95" s="170"/>
    </row>
    <row r="96" spans="1:10" s="63" customFormat="1" ht="16.5">
      <c r="A96" s="65" t="s">
        <v>147</v>
      </c>
      <c r="B96" s="66"/>
      <c r="C96" s="66"/>
      <c r="D96" s="66"/>
      <c r="E96" s="67"/>
      <c r="F96" s="68" t="e">
        <f>+F98+F100+F102</f>
        <v>#N/A</v>
      </c>
      <c r="G96" s="68">
        <f>+SUM(G97:G103)</f>
        <v>0</v>
      </c>
      <c r="H96" s="68" t="e">
        <f>+SUM(H97:H103)</f>
        <v>#N/A</v>
      </c>
      <c r="I96" s="69" t="e">
        <f>IF(F96=0,"S/P",+H96/F96)</f>
        <v>#N/A</v>
      </c>
      <c r="J96" s="319" t="e">
        <f>+F96/(J56+F96+F104+F142)</f>
        <v>#N/A</v>
      </c>
    </row>
    <row r="97" spans="1:9" s="63" customFormat="1" ht="9.75" customHeight="1"/>
    <row r="98" spans="1:9" s="12" customFormat="1" ht="12.75">
      <c r="A98" s="70" t="s">
        <v>56</v>
      </c>
      <c r="B98" s="70"/>
      <c r="C98" s="70"/>
      <c r="D98" s="70"/>
      <c r="E98" s="71"/>
      <c r="F98" s="72" t="e">
        <f>-'Gastos de Persoal'!N45-'Gastos de Persoal'!N66-'Gastos de Persoal'!S45+'Gastos de Persoal'!Q45+'Gastos de Persoal'!Q66</f>
        <v>#N/A</v>
      </c>
      <c r="G98" s="72"/>
      <c r="H98" s="72" t="e">
        <f>+G98-F98</f>
        <v>#N/A</v>
      </c>
      <c r="I98" s="73" t="e">
        <f>IF(F98=0,"S/P",+H98/F98)</f>
        <v>#N/A</v>
      </c>
    </row>
    <row r="99" spans="1:9" ht="12.75" customHeight="1">
      <c r="A99" s="74"/>
      <c r="B99" s="75" t="s">
        <v>148</v>
      </c>
      <c r="C99" s="74"/>
      <c r="D99" s="74"/>
      <c r="E99" s="76"/>
      <c r="F99" s="77"/>
      <c r="G99" s="78"/>
      <c r="H99" s="78"/>
      <c r="I99" s="78"/>
    </row>
    <row r="100" spans="1:9" s="12" customFormat="1" ht="12.75">
      <c r="A100" s="70" t="s">
        <v>58</v>
      </c>
      <c r="B100" s="70"/>
      <c r="C100" s="70"/>
      <c r="D100" s="70"/>
      <c r="E100" s="71"/>
      <c r="F100" s="72" t="e">
        <f>-'Gastos de Persoal'!P45-'Gastos de Persoal'!P66</f>
        <v>#N/A</v>
      </c>
      <c r="G100" s="72"/>
      <c r="H100" s="72" t="e">
        <f>+G100-F100</f>
        <v>#N/A</v>
      </c>
      <c r="I100" s="73" t="e">
        <f>IF(F100=0,"S/P",+H100/F100)</f>
        <v>#N/A</v>
      </c>
    </row>
    <row r="101" spans="1:9" ht="12.75" customHeight="1">
      <c r="A101" s="74"/>
      <c r="B101" s="75" t="s">
        <v>149</v>
      </c>
      <c r="C101" s="74"/>
      <c r="D101" s="74"/>
      <c r="E101" s="76"/>
      <c r="F101" s="77"/>
      <c r="G101" s="78"/>
      <c r="H101" s="78"/>
      <c r="I101" s="78"/>
    </row>
    <row r="102" spans="1:9" s="12" customFormat="1" ht="12.75">
      <c r="A102" s="70" t="s">
        <v>60</v>
      </c>
      <c r="B102" s="70"/>
      <c r="C102" s="70"/>
      <c r="D102" s="70"/>
      <c r="E102" s="71"/>
      <c r="F102" s="72">
        <f>-'Anexo Gastos '!C189</f>
        <v>0</v>
      </c>
      <c r="G102" s="72"/>
      <c r="H102" s="72">
        <f>+G102-F102</f>
        <v>0</v>
      </c>
      <c r="I102" s="73" t="str">
        <f>IF(F102=0,"S/P",+H102/F102)</f>
        <v>S/P</v>
      </c>
    </row>
    <row r="103" spans="1:9" ht="12.75" customHeight="1">
      <c r="A103" s="74"/>
      <c r="B103" s="75" t="s">
        <v>150</v>
      </c>
      <c r="C103" s="74"/>
      <c r="D103" s="74"/>
      <c r="E103" s="76"/>
      <c r="F103" s="77"/>
      <c r="G103" s="78"/>
      <c r="H103" s="78"/>
      <c r="I103" s="78"/>
    </row>
    <row r="104" spans="1:9" s="63" customFormat="1" ht="16.5">
      <c r="A104" s="65" t="s">
        <v>62</v>
      </c>
      <c r="B104" s="66"/>
      <c r="C104" s="66"/>
      <c r="D104" s="66"/>
      <c r="E104" s="67"/>
      <c r="F104" s="68">
        <f>+F106+F108+F110+F112+F114+F116+F118+F120+F126+F136+F138+F140</f>
        <v>0</v>
      </c>
      <c r="G104" s="68">
        <f>+G108+G110+G112+G114+G116+G118+G120+G126+G136+G138+G140</f>
        <v>0</v>
      </c>
      <c r="H104" s="68">
        <f>+H108+H110+H112+H114+H116+H118+H120+H126+H136+H138+H140</f>
        <v>0</v>
      </c>
      <c r="I104" s="69" t="str">
        <f>IF(F104=0,"S/P",+H104/F104)</f>
        <v>S/P</v>
      </c>
    </row>
    <row r="105" spans="1:9" s="63" customFormat="1" ht="9.75" customHeight="1"/>
    <row r="106" spans="1:9" s="12" customFormat="1" ht="12.75">
      <c r="A106" s="70" t="s">
        <v>63</v>
      </c>
      <c r="B106" s="70"/>
      <c r="C106" s="70"/>
      <c r="D106" s="70"/>
      <c r="E106" s="71"/>
      <c r="F106" s="72">
        <f>-'Anexo Gastos '!C61</f>
        <v>0</v>
      </c>
      <c r="G106" s="72"/>
      <c r="H106" s="72">
        <f>+G106-F106</f>
        <v>0</v>
      </c>
      <c r="I106" s="73" t="str">
        <f>IF(F106=0,"S/P",+H106/F106)</f>
        <v>S/P</v>
      </c>
    </row>
    <row r="107" spans="1:9" s="15" customFormat="1" ht="12.75" customHeight="1">
      <c r="A107" s="79"/>
      <c r="B107" s="75" t="s">
        <v>64</v>
      </c>
      <c r="C107" s="79"/>
      <c r="D107" s="79"/>
      <c r="E107" s="80"/>
      <c r="F107" s="81"/>
      <c r="G107" s="82"/>
      <c r="H107" s="82"/>
      <c r="I107" s="83"/>
    </row>
    <row r="108" spans="1:9" s="12" customFormat="1" ht="12.75">
      <c r="A108" s="70" t="s">
        <v>65</v>
      </c>
      <c r="B108" s="70"/>
      <c r="C108" s="70"/>
      <c r="D108" s="70"/>
      <c r="E108" s="71"/>
      <c r="F108" s="72">
        <f>-'Anexo Gastos '!C73</f>
        <v>0</v>
      </c>
      <c r="G108" s="72"/>
      <c r="H108" s="72">
        <f>+G108-F108</f>
        <v>0</v>
      </c>
      <c r="I108" s="73" t="str">
        <f>IF(F108=0,"S/P",+H108/F108)</f>
        <v>S/P</v>
      </c>
    </row>
    <row r="109" spans="1:9" s="15" customFormat="1" ht="12.75" customHeight="1">
      <c r="A109" s="79"/>
      <c r="B109" s="75" t="s">
        <v>66</v>
      </c>
      <c r="C109" s="79"/>
      <c r="D109" s="79"/>
      <c r="E109" s="80"/>
      <c r="F109" s="81"/>
      <c r="G109" s="82"/>
      <c r="H109" s="82"/>
      <c r="I109" s="83"/>
    </row>
    <row r="110" spans="1:9" s="12" customFormat="1" ht="12.75">
      <c r="A110" s="70" t="s">
        <v>151</v>
      </c>
      <c r="B110" s="70"/>
      <c r="C110" s="70"/>
      <c r="D110" s="70"/>
      <c r="E110" s="71"/>
      <c r="F110" s="72">
        <f>-'Anexo Gastos '!C85</f>
        <v>0</v>
      </c>
      <c r="G110" s="72"/>
      <c r="H110" s="72">
        <f>+G110-F110</f>
        <v>0</v>
      </c>
      <c r="I110" s="73" t="str">
        <f>IF(F110=0,"S/P",+H110/F110)</f>
        <v>S/P</v>
      </c>
    </row>
    <row r="111" spans="1:9" s="15" customFormat="1" ht="12.75" customHeight="1">
      <c r="A111" s="79"/>
      <c r="B111" s="75" t="s">
        <v>68</v>
      </c>
      <c r="C111" s="79"/>
      <c r="D111" s="79"/>
      <c r="E111" s="80"/>
      <c r="F111" s="81"/>
      <c r="G111" s="82"/>
      <c r="H111" s="82"/>
      <c r="I111" s="83"/>
    </row>
    <row r="112" spans="1:9" s="12" customFormat="1" ht="12.75" hidden="1">
      <c r="A112" s="70" t="s">
        <v>69</v>
      </c>
      <c r="B112" s="70"/>
      <c r="C112" s="70"/>
      <c r="D112" s="70"/>
      <c r="E112" s="71"/>
      <c r="F112" s="72">
        <f>-'Anexo Gastos '!C97</f>
        <v>0</v>
      </c>
      <c r="G112" s="72"/>
      <c r="H112" s="72">
        <f>+G112-F112</f>
        <v>0</v>
      </c>
      <c r="I112" s="73" t="str">
        <f>IF(F112=0,"S/P",+H112/F112)</f>
        <v>S/P</v>
      </c>
    </row>
    <row r="113" spans="1:9" s="15" customFormat="1" ht="12.75" hidden="1" customHeight="1">
      <c r="A113" s="79"/>
      <c r="B113" s="75" t="s">
        <v>152</v>
      </c>
      <c r="C113" s="79"/>
      <c r="D113" s="79"/>
      <c r="E113" s="80"/>
      <c r="F113" s="81"/>
      <c r="G113" s="82"/>
      <c r="H113" s="82"/>
      <c r="I113" s="82"/>
    </row>
    <row r="114" spans="1:9" s="12" customFormat="1" ht="12.75">
      <c r="A114" s="70" t="s">
        <v>71</v>
      </c>
      <c r="B114" s="70"/>
      <c r="C114" s="70"/>
      <c r="D114" s="70"/>
      <c r="E114" s="71"/>
      <c r="F114" s="72">
        <f>-'Anexo Gastos '!C111</f>
        <v>0</v>
      </c>
      <c r="G114" s="72"/>
      <c r="H114" s="72">
        <f>+G114-F114</f>
        <v>0</v>
      </c>
      <c r="I114" s="73" t="str">
        <f>IF(F114=0,"S/P",+H114/F114)</f>
        <v>S/P</v>
      </c>
    </row>
    <row r="115" spans="1:9" s="15" customFormat="1" ht="12.75" customHeight="1">
      <c r="A115" s="79"/>
      <c r="B115" s="75" t="s">
        <v>153</v>
      </c>
      <c r="C115" s="79"/>
      <c r="D115" s="79"/>
      <c r="E115" s="80"/>
      <c r="F115" s="81"/>
      <c r="G115" s="82"/>
      <c r="H115" s="82"/>
      <c r="I115" s="82"/>
    </row>
    <row r="116" spans="1:9" s="12" customFormat="1" ht="12.75">
      <c r="A116" s="70" t="s">
        <v>73</v>
      </c>
      <c r="B116" s="70"/>
      <c r="C116" s="70"/>
      <c r="D116" s="70"/>
      <c r="E116" s="71"/>
      <c r="F116" s="72">
        <f>-'Anexo Gastos '!C123</f>
        <v>0</v>
      </c>
      <c r="G116" s="72"/>
      <c r="H116" s="72">
        <f>+G116-F116</f>
        <v>0</v>
      </c>
      <c r="I116" s="73" t="str">
        <f>IF(F116=0,"S/P",+H116/F116)</f>
        <v>S/P</v>
      </c>
    </row>
    <row r="117" spans="1:9" s="15" customFormat="1" ht="12.75" customHeight="1">
      <c r="A117" s="79"/>
      <c r="B117" s="75" t="s">
        <v>74</v>
      </c>
      <c r="C117" s="79"/>
      <c r="D117" s="79"/>
      <c r="E117" s="80"/>
      <c r="F117" s="81"/>
      <c r="G117" s="82"/>
      <c r="H117" s="82"/>
      <c r="I117" s="82"/>
    </row>
    <row r="118" spans="1:9" s="12" customFormat="1" ht="12.75" hidden="1">
      <c r="A118" s="70" t="s">
        <v>75</v>
      </c>
      <c r="B118" s="70"/>
      <c r="C118" s="70"/>
      <c r="D118" s="70"/>
      <c r="E118" s="71"/>
      <c r="F118" s="72">
        <f>-'Anexo Gastos '!C134</f>
        <v>0</v>
      </c>
      <c r="G118" s="72"/>
      <c r="H118" s="72">
        <f>+G118-F118</f>
        <v>0</v>
      </c>
      <c r="I118" s="73" t="str">
        <f>IF(F118=0,"S/P",+H118/F118)</f>
        <v>S/P</v>
      </c>
    </row>
    <row r="119" spans="1:9" s="15" customFormat="1" ht="12.75" hidden="1" customHeight="1">
      <c r="A119" s="79"/>
      <c r="B119" s="75" t="s">
        <v>76</v>
      </c>
      <c r="C119" s="79"/>
      <c r="D119" s="79"/>
      <c r="E119" s="80"/>
      <c r="F119" s="81"/>
      <c r="G119" s="82"/>
      <c r="H119" s="82"/>
      <c r="I119" s="82"/>
    </row>
    <row r="120" spans="1:9" s="12" customFormat="1" ht="12.75">
      <c r="A120" s="70" t="s">
        <v>77</v>
      </c>
      <c r="B120" s="70"/>
      <c r="C120" s="70"/>
      <c r="D120" s="70"/>
      <c r="E120" s="71"/>
      <c r="F120" s="72">
        <f>+SUM(F121:F125)</f>
        <v>0</v>
      </c>
      <c r="G120" s="72">
        <f>+SUM(G121:G125)</f>
        <v>0</v>
      </c>
      <c r="H120" s="72">
        <f>+SUM(H121:H125)</f>
        <v>0</v>
      </c>
      <c r="I120" s="73" t="str">
        <f>IF(F120=0,"S/P",+H120/F120)</f>
        <v>S/P</v>
      </c>
    </row>
    <row r="121" spans="1:9" s="15" customFormat="1" ht="12.75" customHeight="1">
      <c r="A121" s="79"/>
      <c r="B121" s="75" t="str">
        <f>+'Anexo Gastos '!B141</f>
        <v xml:space="preserve">Luz </v>
      </c>
      <c r="C121" s="79"/>
      <c r="D121" s="79"/>
      <c r="E121" s="150"/>
      <c r="F121" s="146">
        <f>-'Anexo Gastos '!C141</f>
        <v>0</v>
      </c>
      <c r="G121" s="146"/>
      <c r="H121" s="146">
        <f>+G121-F121</f>
        <v>0</v>
      </c>
      <c r="I121" s="147" t="str">
        <f>IF(E121=0,"S/P",+H121/E121)</f>
        <v>S/P</v>
      </c>
    </row>
    <row r="122" spans="1:9" s="15" customFormat="1" ht="12.75" customHeight="1">
      <c r="A122" s="79"/>
      <c r="B122" s="75" t="str">
        <f>+'Anexo Gastos '!B142</f>
        <v>Agua</v>
      </c>
      <c r="C122" s="79"/>
      <c r="D122" s="79"/>
      <c r="E122" s="150"/>
      <c r="F122" s="146">
        <f>-'Anexo Gastos '!C142</f>
        <v>0</v>
      </c>
      <c r="G122" s="146"/>
      <c r="H122" s="146">
        <f t="shared" ref="H122:H134" si="15">+G122-F122</f>
        <v>0</v>
      </c>
      <c r="I122" s="147" t="str">
        <f t="shared" ref="I122:I134" si="16">IF(E122=0,"S/P",+H122/E122)</f>
        <v>S/P</v>
      </c>
    </row>
    <row r="123" spans="1:9" s="15" customFormat="1" ht="12.75" customHeight="1">
      <c r="A123" s="79"/>
      <c r="B123" s="75" t="str">
        <f>+'Anexo Gastos '!B143</f>
        <v>Carburantes Instalaciones</v>
      </c>
      <c r="C123" s="79"/>
      <c r="D123" s="79"/>
      <c r="E123" s="150"/>
      <c r="F123" s="146">
        <f>-'Anexo Gastos '!C143</f>
        <v>0</v>
      </c>
      <c r="G123" s="146"/>
      <c r="H123" s="146">
        <f t="shared" si="15"/>
        <v>0</v>
      </c>
      <c r="I123" s="147" t="str">
        <f t="shared" si="16"/>
        <v>S/P</v>
      </c>
    </row>
    <row r="124" spans="1:9" s="15" customFormat="1" ht="12.75" customHeight="1">
      <c r="A124" s="79"/>
      <c r="B124" s="75" t="str">
        <f>+'Anexo Gastos '!B144</f>
        <v>Carburantes Vehículos</v>
      </c>
      <c r="C124" s="79"/>
      <c r="D124" s="79"/>
      <c r="E124" s="150"/>
      <c r="F124" s="146">
        <f>-'Anexo Gastos '!C144</f>
        <v>0</v>
      </c>
      <c r="G124" s="146"/>
      <c r="H124" s="146">
        <f t="shared" si="15"/>
        <v>0</v>
      </c>
      <c r="I124" s="147" t="str">
        <f t="shared" si="16"/>
        <v>S/P</v>
      </c>
    </row>
    <row r="125" spans="1:9" s="15" customFormat="1" ht="12.75" hidden="1" customHeight="1">
      <c r="A125" s="79"/>
      <c r="B125" s="75" t="str">
        <f>+'Anexo Gastos '!B145</f>
        <v>Otros Suministros</v>
      </c>
      <c r="C125" s="79"/>
      <c r="D125" s="79"/>
      <c r="E125" s="150"/>
      <c r="F125" s="146">
        <f>-'Anexo Gastos '!C145</f>
        <v>0</v>
      </c>
      <c r="G125" s="146"/>
      <c r="H125" s="146">
        <f t="shared" si="15"/>
        <v>0</v>
      </c>
      <c r="I125" s="147" t="str">
        <f t="shared" si="16"/>
        <v>S/P</v>
      </c>
    </row>
    <row r="126" spans="1:9" s="12" customFormat="1" ht="12.75">
      <c r="A126" s="70" t="s">
        <v>154</v>
      </c>
      <c r="B126" s="70"/>
      <c r="C126" s="70"/>
      <c r="D126" s="70"/>
      <c r="E126" s="71"/>
      <c r="F126" s="72">
        <f>+SUM(F127:F135)</f>
        <v>0</v>
      </c>
      <c r="G126" s="72">
        <f>+SUM(G127:G134)</f>
        <v>0</v>
      </c>
      <c r="H126" s="72">
        <f>+SUM(H127:H134)</f>
        <v>0</v>
      </c>
      <c r="I126" s="73" t="str">
        <f>IF(F126=0,"S/P",+H126/F126)</f>
        <v>S/P</v>
      </c>
    </row>
    <row r="127" spans="1:9" s="15" customFormat="1" ht="12.75" customHeight="1">
      <c r="A127" s="79"/>
      <c r="B127" s="75" t="str">
        <f>+'Anexo Gastos '!B153</f>
        <v>Correos e Mensaxería</v>
      </c>
      <c r="C127" s="79"/>
      <c r="D127" s="79"/>
      <c r="E127" s="150"/>
      <c r="F127" s="146">
        <f>-'Anexo Gastos '!C153</f>
        <v>0</v>
      </c>
      <c r="G127" s="146"/>
      <c r="H127" s="146">
        <f t="shared" si="15"/>
        <v>0</v>
      </c>
      <c r="I127" s="147" t="str">
        <f t="shared" si="16"/>
        <v>S/P</v>
      </c>
    </row>
    <row r="128" spans="1:9" s="15" customFormat="1" ht="12.75" customHeight="1">
      <c r="A128" s="79"/>
      <c r="B128" s="75" t="str">
        <f>+'Anexo Gastos '!B154</f>
        <v>Asesoría e Auditoría</v>
      </c>
      <c r="C128" s="79"/>
      <c r="D128" s="79"/>
      <c r="E128" s="150"/>
      <c r="F128" s="146">
        <f>-'Anexo Gastos '!C154</f>
        <v>0</v>
      </c>
      <c r="G128" s="146"/>
      <c r="H128" s="146">
        <f t="shared" si="15"/>
        <v>0</v>
      </c>
      <c r="I128" s="147" t="str">
        <f t="shared" si="16"/>
        <v>S/P</v>
      </c>
    </row>
    <row r="129" spans="1:9" s="15" customFormat="1" ht="12.75" hidden="1" customHeight="1">
      <c r="A129" s="79"/>
      <c r="B129" s="75" t="str">
        <f>+'Anexo Gastos '!B155</f>
        <v>Gastos de Viaje</v>
      </c>
      <c r="C129" s="79"/>
      <c r="D129" s="79"/>
      <c r="E129" s="150"/>
      <c r="F129" s="146">
        <f>-'Anexo Gastos '!C155</f>
        <v>0</v>
      </c>
      <c r="G129" s="146"/>
      <c r="H129" s="146">
        <f t="shared" si="15"/>
        <v>0</v>
      </c>
      <c r="I129" s="147" t="str">
        <f t="shared" si="16"/>
        <v>S/P</v>
      </c>
    </row>
    <row r="130" spans="1:9" s="15" customFormat="1" ht="12.75" hidden="1" customHeight="1">
      <c r="A130" s="79"/>
      <c r="B130" s="75" t="str">
        <f>+'Anexo Gastos '!B156</f>
        <v>Comunidad de Vecinos</v>
      </c>
      <c r="C130" s="79"/>
      <c r="D130" s="79"/>
      <c r="E130" s="150"/>
      <c r="F130" s="146">
        <f>-'Anexo Gastos '!C156</f>
        <v>0</v>
      </c>
      <c r="G130" s="146"/>
      <c r="H130" s="146">
        <f t="shared" si="15"/>
        <v>0</v>
      </c>
      <c r="I130" s="147" t="str">
        <f t="shared" si="16"/>
        <v>S/P</v>
      </c>
    </row>
    <row r="131" spans="1:9" s="15" customFormat="1" ht="12.75" customHeight="1">
      <c r="A131" s="79"/>
      <c r="B131" s="75" t="str">
        <f>+'Anexo Gastos '!B157</f>
        <v>Material de Oficina</v>
      </c>
      <c r="C131" s="79"/>
      <c r="D131" s="79"/>
      <c r="E131" s="150"/>
      <c r="F131" s="146">
        <f>-'Anexo Gastos '!C157</f>
        <v>0</v>
      </c>
      <c r="G131" s="146"/>
      <c r="H131" s="146">
        <f t="shared" si="15"/>
        <v>0</v>
      </c>
      <c r="I131" s="147" t="str">
        <f t="shared" si="16"/>
        <v>S/P</v>
      </c>
    </row>
    <row r="132" spans="1:9" s="15" customFormat="1" ht="12.75" hidden="1" customHeight="1">
      <c r="A132" s="79"/>
      <c r="B132" s="75" t="str">
        <f>+'Anexo Gastos '!B158</f>
        <v>Cuotas Asociativas</v>
      </c>
      <c r="C132" s="79"/>
      <c r="D132" s="79"/>
      <c r="E132" s="150"/>
      <c r="F132" s="146">
        <f>-'Anexo Gastos '!C158</f>
        <v>0</v>
      </c>
      <c r="G132" s="146"/>
      <c r="H132" s="146">
        <f t="shared" si="15"/>
        <v>0</v>
      </c>
      <c r="I132" s="147" t="str">
        <f t="shared" si="16"/>
        <v>S/P</v>
      </c>
    </row>
    <row r="133" spans="1:9" s="15" customFormat="1" ht="12.75" hidden="1" customHeight="1">
      <c r="A133" s="79"/>
      <c r="B133" s="75" t="str">
        <f>+'Anexo Gastos '!B159</f>
        <v>Comisión Central de Compras</v>
      </c>
      <c r="C133" s="79"/>
      <c r="D133" s="79"/>
      <c r="E133" s="150"/>
      <c r="F133" s="146">
        <f>-'Anexo Gastos '!C159</f>
        <v>0</v>
      </c>
      <c r="G133" s="146"/>
      <c r="H133" s="146">
        <f t="shared" si="15"/>
        <v>0</v>
      </c>
      <c r="I133" s="147" t="str">
        <f t="shared" si="16"/>
        <v>S/P</v>
      </c>
    </row>
    <row r="134" spans="1:9" s="15" customFormat="1" ht="12.75" customHeight="1">
      <c r="A134" s="79"/>
      <c r="B134" s="75" t="str">
        <f>+'Anexo Gastos '!B160</f>
        <v>Protección datos</v>
      </c>
      <c r="C134" s="79"/>
      <c r="D134" s="79"/>
      <c r="E134" s="150"/>
      <c r="F134" s="146">
        <f>-'Anexo Gastos '!C160</f>
        <v>0</v>
      </c>
      <c r="G134" s="146"/>
      <c r="H134" s="146">
        <f t="shared" si="15"/>
        <v>0</v>
      </c>
      <c r="I134" s="147" t="str">
        <f t="shared" si="16"/>
        <v>S/P</v>
      </c>
    </row>
    <row r="135" spans="1:9" s="15" customFormat="1" ht="12.75" customHeight="1">
      <c r="A135" s="79"/>
      <c r="B135" s="75" t="str">
        <f>+'Anexo Gastos '!B161</f>
        <v>Telefonía Fija y Móvil</v>
      </c>
      <c r="C135" s="79"/>
      <c r="D135" s="79"/>
      <c r="E135" s="150"/>
      <c r="F135" s="146">
        <f>-'Anexo Gastos '!C161</f>
        <v>0</v>
      </c>
      <c r="G135" s="146"/>
      <c r="H135" s="146"/>
      <c r="I135" s="147"/>
    </row>
    <row r="136" spans="1:9" s="12" customFormat="1" ht="12.75">
      <c r="A136" s="70" t="s">
        <v>81</v>
      </c>
      <c r="B136" s="70"/>
      <c r="C136" s="70"/>
      <c r="D136" s="70"/>
      <c r="E136" s="71"/>
      <c r="F136" s="72">
        <f>-'Anexo Gastos '!C176</f>
        <v>0</v>
      </c>
      <c r="G136" s="72"/>
      <c r="H136" s="72">
        <f>+G136-F136</f>
        <v>0</v>
      </c>
      <c r="I136" s="73" t="str">
        <f>IF(F136=0,"S/P",+H136/F136)</f>
        <v>S/P</v>
      </c>
    </row>
    <row r="137" spans="1:9" s="15" customFormat="1" ht="12.75" customHeight="1">
      <c r="A137" s="79"/>
      <c r="B137" s="75" t="s">
        <v>82</v>
      </c>
      <c r="C137" s="79"/>
      <c r="D137" s="79"/>
      <c r="E137" s="80"/>
      <c r="F137" s="81"/>
      <c r="G137" s="84"/>
      <c r="H137" s="84"/>
      <c r="I137" s="84"/>
    </row>
    <row r="138" spans="1:9" s="12" customFormat="1" ht="12.75" hidden="1">
      <c r="A138" s="70" t="s">
        <v>155</v>
      </c>
      <c r="B138" s="70"/>
      <c r="C138" s="70"/>
      <c r="D138" s="70"/>
      <c r="E138" s="71"/>
      <c r="F138" s="72">
        <v>0</v>
      </c>
      <c r="G138" s="72"/>
      <c r="H138" s="72">
        <f>+G138-F138</f>
        <v>0</v>
      </c>
      <c r="I138" s="73" t="str">
        <f>IF(F138=0,"S/P",+H138/F138)</f>
        <v>S/P</v>
      </c>
    </row>
    <row r="139" spans="1:9" s="15" customFormat="1" ht="12.75" hidden="1" customHeight="1">
      <c r="A139" s="79"/>
      <c r="B139" s="75" t="s">
        <v>156</v>
      </c>
      <c r="C139" s="79"/>
      <c r="D139" s="79"/>
      <c r="E139" s="80"/>
      <c r="F139" s="81"/>
      <c r="G139" s="84"/>
      <c r="H139" s="84"/>
      <c r="I139" s="84"/>
    </row>
    <row r="140" spans="1:9" s="12" customFormat="1" ht="12.75" hidden="1">
      <c r="A140" s="70" t="s">
        <v>85</v>
      </c>
      <c r="B140" s="70"/>
      <c r="C140" s="70"/>
      <c r="D140" s="70"/>
      <c r="E140" s="71"/>
      <c r="F140" s="72"/>
      <c r="G140" s="72"/>
      <c r="H140" s="72">
        <f>+G140-F140</f>
        <v>0</v>
      </c>
      <c r="I140" s="73" t="str">
        <f>IF(F140=0,"S/P",+H140/F140)</f>
        <v>S/P</v>
      </c>
    </row>
    <row r="141" spans="1:9" s="15" customFormat="1" ht="12.75" hidden="1" customHeight="1">
      <c r="A141" s="79"/>
      <c r="B141" s="75" t="s">
        <v>86</v>
      </c>
      <c r="C141" s="79"/>
      <c r="D141" s="79"/>
      <c r="E141" s="80"/>
      <c r="F141" s="81"/>
      <c r="G141" s="84"/>
      <c r="H141" s="84"/>
      <c r="I141" s="84"/>
    </row>
    <row r="142" spans="1:9" s="63" customFormat="1" ht="16.5">
      <c r="A142" s="65" t="s">
        <v>87</v>
      </c>
      <c r="B142" s="66"/>
      <c r="C142" s="66"/>
      <c r="D142" s="66"/>
      <c r="E142" s="67"/>
      <c r="F142" s="68">
        <f>+F146+F144</f>
        <v>0</v>
      </c>
      <c r="G142" s="68">
        <f>+SUM(G143:G147)</f>
        <v>0</v>
      </c>
      <c r="H142" s="68">
        <f>+SUM(H143:H147)</f>
        <v>0</v>
      </c>
      <c r="I142" s="69" t="str">
        <f>IF(F142=0,"S/P",+H142/F142)</f>
        <v>S/P</v>
      </c>
    </row>
    <row r="143" spans="1:9" s="63" customFormat="1" ht="9.75" customHeight="1"/>
    <row r="144" spans="1:9" s="12" customFormat="1" ht="12.75">
      <c r="A144" s="70" t="s">
        <v>88</v>
      </c>
      <c r="B144" s="70"/>
      <c r="C144" s="70"/>
      <c r="D144" s="70"/>
      <c r="E144" s="71"/>
      <c r="F144" s="72">
        <f>-'Amort-Sub K'!H7</f>
        <v>0</v>
      </c>
      <c r="G144" s="72"/>
      <c r="H144" s="72">
        <f>+G144-F144</f>
        <v>0</v>
      </c>
      <c r="I144" s="73" t="str">
        <f>IF(F144=0,"S/P",+H144/F144)</f>
        <v>S/P</v>
      </c>
    </row>
    <row r="145" spans="1:9" s="15" customFormat="1" ht="12.75" customHeight="1">
      <c r="A145" s="79"/>
      <c r="B145" s="75" t="s">
        <v>157</v>
      </c>
      <c r="C145" s="79"/>
      <c r="D145" s="79"/>
      <c r="E145" s="80"/>
      <c r="F145" s="81"/>
      <c r="G145" s="84"/>
      <c r="H145" s="84"/>
      <c r="I145" s="84"/>
    </row>
    <row r="146" spans="1:9" s="12" customFormat="1" ht="12.75">
      <c r="A146" s="70" t="s">
        <v>90</v>
      </c>
      <c r="B146" s="70"/>
      <c r="C146" s="70"/>
      <c r="D146" s="70"/>
      <c r="E146" s="71"/>
      <c r="F146" s="72">
        <f>-'Amort-Sub K'!H245</f>
        <v>0</v>
      </c>
      <c r="G146" s="72"/>
      <c r="H146" s="72">
        <f>+G146-F146</f>
        <v>0</v>
      </c>
      <c r="I146" s="73" t="str">
        <f>IF(F146=0,"S/P",+H146/F146)</f>
        <v>S/P</v>
      </c>
    </row>
    <row r="147" spans="1:9" s="15" customFormat="1" ht="12.75" customHeight="1">
      <c r="A147" s="79"/>
      <c r="B147" s="75" t="s">
        <v>89</v>
      </c>
      <c r="C147" s="79"/>
      <c r="D147" s="79"/>
      <c r="E147" s="80"/>
      <c r="F147" s="81"/>
      <c r="G147" s="84"/>
      <c r="H147" s="84"/>
      <c r="I147" s="84"/>
    </row>
    <row r="148" spans="1:9" s="63" customFormat="1" ht="16.5">
      <c r="A148" s="58" t="s">
        <v>158</v>
      </c>
      <c r="B148" s="59"/>
      <c r="C148" s="59"/>
      <c r="D148" s="59"/>
      <c r="E148" s="60"/>
      <c r="F148" s="61">
        <f>+F152+F150</f>
        <v>0</v>
      </c>
      <c r="G148" s="61">
        <f>+SUM(G149:G153)</f>
        <v>0</v>
      </c>
      <c r="H148" s="61">
        <f>+SUM(H149:H153)</f>
        <v>0</v>
      </c>
      <c r="I148" s="62" t="str">
        <f>IF(F148=0,"S/P",+H148/F148)</f>
        <v>S/P</v>
      </c>
    </row>
    <row r="149" spans="1:9" s="63" customFormat="1" ht="9.75" customHeight="1"/>
    <row r="150" spans="1:9" s="12" customFormat="1" ht="12.75">
      <c r="A150" s="341" t="s">
        <v>92</v>
      </c>
      <c r="B150" s="341"/>
      <c r="C150" s="341"/>
      <c r="D150" s="341"/>
      <c r="E150" s="342"/>
      <c r="F150" s="343">
        <f>'Amort-Sub K'!P7+'Amort-Sub K'!P245</f>
        <v>0</v>
      </c>
      <c r="G150" s="343"/>
      <c r="H150" s="343">
        <f>+G150-F150</f>
        <v>0</v>
      </c>
      <c r="I150" s="344" t="str">
        <f>IF(F150=0,"S/P",+H150/F150)</f>
        <v>S/P</v>
      </c>
    </row>
    <row r="151" spans="1:9" s="15" customFormat="1" ht="12.75" customHeight="1">
      <c r="B151" s="25" t="s">
        <v>159</v>
      </c>
      <c r="E151" s="46"/>
      <c r="F151" s="81"/>
      <c r="G151" s="84"/>
      <c r="H151" s="84"/>
      <c r="I151" s="84"/>
    </row>
    <row r="152" spans="1:9" s="12" customFormat="1" ht="12.75" hidden="1">
      <c r="A152" s="341" t="s">
        <v>94</v>
      </c>
      <c r="B152" s="341"/>
      <c r="C152" s="341"/>
      <c r="D152" s="341"/>
      <c r="E152" s="342"/>
      <c r="F152" s="343"/>
      <c r="G152" s="343"/>
      <c r="H152" s="343">
        <f>+G152-F152</f>
        <v>0</v>
      </c>
      <c r="I152" s="344" t="str">
        <f>IF(F152=0,"S/P",+H152/F152)</f>
        <v>S/P</v>
      </c>
    </row>
    <row r="153" spans="1:9" s="15" customFormat="1" ht="12.75" hidden="1" customHeight="1">
      <c r="B153" s="25" t="s">
        <v>159</v>
      </c>
      <c r="E153" s="46"/>
      <c r="F153" s="84"/>
      <c r="G153" s="84"/>
      <c r="H153" s="84"/>
      <c r="I153" s="84"/>
    </row>
    <row r="154" spans="1:9" s="63" customFormat="1" ht="16.5" hidden="1">
      <c r="A154" s="58" t="s">
        <v>95</v>
      </c>
      <c r="B154" s="59"/>
      <c r="C154" s="59"/>
      <c r="D154" s="59"/>
      <c r="E154" s="60"/>
      <c r="F154" s="61">
        <f>+F156</f>
        <v>0</v>
      </c>
      <c r="G154" s="61">
        <f>+G156</f>
        <v>0</v>
      </c>
      <c r="H154" s="61">
        <f>+H156</f>
        <v>0</v>
      </c>
      <c r="I154" s="62" t="str">
        <f>IF(F154=0,"S/P",+H154/F154)</f>
        <v>S/P</v>
      </c>
    </row>
    <row r="155" spans="1:9" s="63" customFormat="1" ht="9.75" hidden="1" customHeight="1"/>
    <row r="156" spans="1:9" s="12" customFormat="1" ht="12.75" hidden="1">
      <c r="A156" s="341" t="s">
        <v>96</v>
      </c>
      <c r="B156" s="341"/>
      <c r="C156" s="341"/>
      <c r="D156" s="341"/>
      <c r="E156" s="342"/>
      <c r="F156" s="343"/>
      <c r="G156" s="343"/>
      <c r="H156" s="343">
        <f>+G156-F156</f>
        <v>0</v>
      </c>
      <c r="I156" s="344" t="str">
        <f>IF(F156=0,"S/P",+H156/F156)</f>
        <v>S/P</v>
      </c>
    </row>
    <row r="157" spans="1:9" s="15" customFormat="1" ht="12.75" hidden="1" customHeight="1">
      <c r="B157" s="25" t="s">
        <v>97</v>
      </c>
      <c r="E157" s="46"/>
      <c r="F157" s="84"/>
      <c r="G157" s="84"/>
      <c r="H157" s="84"/>
      <c r="I157" s="84"/>
    </row>
    <row r="158" spans="1:9" s="63" customFormat="1" ht="16.5" hidden="1">
      <c r="A158" s="108" t="s">
        <v>160</v>
      </c>
      <c r="B158" s="109"/>
      <c r="C158" s="109"/>
      <c r="D158" s="109"/>
      <c r="E158" s="110"/>
      <c r="F158" s="111">
        <f>+F162+F160</f>
        <v>0</v>
      </c>
      <c r="G158" s="111">
        <f>+G160+G162</f>
        <v>0</v>
      </c>
      <c r="H158" s="111">
        <f>+H160+H162</f>
        <v>0</v>
      </c>
      <c r="I158" s="143" t="str">
        <f>IF(F158=0,"S/P",+H158/F158)</f>
        <v>S/P</v>
      </c>
    </row>
    <row r="159" spans="1:9" s="63" customFormat="1" ht="9.75" hidden="1" customHeight="1">
      <c r="A159" s="112"/>
      <c r="B159" s="112"/>
      <c r="C159" s="112"/>
      <c r="D159" s="112"/>
      <c r="E159" s="112"/>
      <c r="F159" s="112"/>
      <c r="G159" s="112"/>
      <c r="H159" s="112"/>
      <c r="I159" s="112"/>
    </row>
    <row r="160" spans="1:9" s="12" customFormat="1" ht="12.75" hidden="1">
      <c r="A160" s="113" t="s">
        <v>99</v>
      </c>
      <c r="B160" s="113"/>
      <c r="C160" s="113"/>
      <c r="D160" s="113"/>
      <c r="E160" s="114"/>
      <c r="F160" s="115"/>
      <c r="G160" s="115"/>
      <c r="H160" s="115">
        <f>+G160-F160</f>
        <v>0</v>
      </c>
      <c r="I160" s="144" t="str">
        <f>IF(F160=0,"S/P",+H160/F160)</f>
        <v>S/P</v>
      </c>
    </row>
    <row r="161" spans="1:9" s="15" customFormat="1" ht="12.75" hidden="1" customHeight="1">
      <c r="A161" s="121"/>
      <c r="B161" s="117" t="s">
        <v>100</v>
      </c>
      <c r="C161" s="121"/>
      <c r="D161" s="121"/>
      <c r="E161" s="122"/>
      <c r="F161" s="123"/>
      <c r="G161" s="123"/>
      <c r="H161" s="123"/>
      <c r="I161" s="123"/>
    </row>
    <row r="162" spans="1:9" s="12" customFormat="1" ht="12.75" hidden="1">
      <c r="A162" s="113" t="s">
        <v>161</v>
      </c>
      <c r="B162" s="113"/>
      <c r="C162" s="113"/>
      <c r="D162" s="113"/>
      <c r="E162" s="114"/>
      <c r="F162" s="115"/>
      <c r="G162" s="115"/>
      <c r="H162" s="115">
        <f>+G162-F162</f>
        <v>0</v>
      </c>
      <c r="I162" s="144" t="str">
        <f>IF(F162=0,"S/P",+H162/F162)</f>
        <v>S/P</v>
      </c>
    </row>
    <row r="163" spans="1:9" s="15" customFormat="1" ht="12.75" hidden="1" customHeight="1">
      <c r="A163" s="121"/>
      <c r="B163" s="117" t="s">
        <v>162</v>
      </c>
      <c r="C163" s="121"/>
      <c r="D163" s="121"/>
      <c r="E163" s="122"/>
      <c r="F163" s="123"/>
      <c r="G163" s="84"/>
      <c r="H163" s="84"/>
      <c r="I163" s="84"/>
    </row>
    <row r="164" spans="1:9" s="63" customFormat="1" ht="16.5">
      <c r="A164" s="124" t="s">
        <v>163</v>
      </c>
      <c r="B164" s="125"/>
      <c r="C164" s="125"/>
      <c r="D164" s="125"/>
      <c r="E164" s="126"/>
      <c r="F164" s="127" t="e">
        <f>+F2+F96+F104+F142+F25+F38+F48+F52+F56+F84+F148+F154+F158</f>
        <v>#N/A</v>
      </c>
      <c r="G164" s="127">
        <f>+G2+G25+G38+G48+G52+G56+G84+G96+G104+G142+G148+G154+G158</f>
        <v>0</v>
      </c>
      <c r="H164" s="127" t="e">
        <f>+H2+H25+H38+H48+H52+H56+H84+H96+H104+H142+H148+H154+H158</f>
        <v>#N/A</v>
      </c>
      <c r="I164" s="127" t="e">
        <f>IF(F164=0,"S/P",+H164/F164)</f>
        <v>#N/A</v>
      </c>
    </row>
    <row r="165" spans="1:9" s="63" customFormat="1" ht="10.5" hidden="1" customHeight="1"/>
    <row r="166" spans="1:9" s="63" customFormat="1" ht="16.5" hidden="1">
      <c r="A166" s="58" t="s">
        <v>104</v>
      </c>
      <c r="B166" s="59"/>
      <c r="C166" s="59"/>
      <c r="D166" s="59"/>
      <c r="E166" s="60"/>
      <c r="F166" s="61">
        <f>+SUM(F168:F174)</f>
        <v>0</v>
      </c>
      <c r="G166" s="61">
        <f>+SUM(G167:G175)</f>
        <v>0</v>
      </c>
      <c r="H166" s="61">
        <f>+SUM(H167:H175)</f>
        <v>0</v>
      </c>
      <c r="I166" s="62" t="str">
        <f>IF(F166=0,"S/P",+H166/F166)</f>
        <v>S/P</v>
      </c>
    </row>
    <row r="167" spans="1:9" s="63" customFormat="1" ht="9.75" hidden="1" customHeight="1"/>
    <row r="168" spans="1:9" s="12" customFormat="1" ht="12.75" hidden="1">
      <c r="A168" s="341" t="s">
        <v>105</v>
      </c>
      <c r="B168" s="341"/>
      <c r="C168" s="341"/>
      <c r="D168" s="341"/>
      <c r="E168" s="342"/>
      <c r="F168" s="343">
        <f>+'Anexo Ingresos'!C97</f>
        <v>0</v>
      </c>
      <c r="G168" s="343"/>
      <c r="H168" s="343">
        <f>+G168-F168</f>
        <v>0</v>
      </c>
      <c r="I168" s="344" t="str">
        <f>IF(F168=0,"S/P",+H168/F168)</f>
        <v>S/P</v>
      </c>
    </row>
    <row r="169" spans="1:9" s="15" customFormat="1" ht="12.75" hidden="1" customHeight="1">
      <c r="B169" s="25" t="s">
        <v>106</v>
      </c>
      <c r="E169" s="46"/>
      <c r="F169" s="84"/>
      <c r="G169" s="84"/>
      <c r="H169" s="84"/>
      <c r="I169" s="84"/>
    </row>
    <row r="170" spans="1:9" s="12" customFormat="1" ht="12.75" hidden="1">
      <c r="A170" s="341" t="s">
        <v>107</v>
      </c>
      <c r="B170" s="341"/>
      <c r="C170" s="341"/>
      <c r="D170" s="341"/>
      <c r="E170" s="342"/>
      <c r="F170" s="343">
        <f>+'Anexo Ingresos'!C103</f>
        <v>0</v>
      </c>
      <c r="G170" s="343"/>
      <c r="H170" s="343">
        <f>+G170-F170</f>
        <v>0</v>
      </c>
      <c r="I170" s="344" t="str">
        <f>IF(F170=0,"S/P",+H170/F170)</f>
        <v>S/P</v>
      </c>
    </row>
    <row r="171" spans="1:9" s="15" customFormat="1" ht="12.75" hidden="1" customHeight="1">
      <c r="B171" s="25" t="s">
        <v>108</v>
      </c>
      <c r="E171" s="46"/>
      <c r="F171" s="84"/>
      <c r="G171" s="84"/>
      <c r="H171" s="84"/>
      <c r="I171" s="84"/>
    </row>
    <row r="172" spans="1:9" s="12" customFormat="1" ht="12.75" hidden="1">
      <c r="A172" s="341" t="s">
        <v>109</v>
      </c>
      <c r="B172" s="341"/>
      <c r="C172" s="341"/>
      <c r="D172" s="341"/>
      <c r="E172" s="342"/>
      <c r="F172" s="343">
        <f>+'Anexo Ingresos'!C115</f>
        <v>0</v>
      </c>
      <c r="G172" s="343"/>
      <c r="H172" s="343">
        <f>+G172-F172</f>
        <v>0</v>
      </c>
      <c r="I172" s="344" t="str">
        <f>IF(F172=0,"S/P",+H172/F172)</f>
        <v>S/P</v>
      </c>
    </row>
    <row r="173" spans="1:9" s="15" customFormat="1" ht="12.75" hidden="1" customHeight="1">
      <c r="B173" s="25" t="s">
        <v>110</v>
      </c>
      <c r="E173" s="46"/>
      <c r="F173" s="84"/>
      <c r="G173" s="84"/>
      <c r="H173" s="84"/>
      <c r="I173" s="84"/>
    </row>
    <row r="174" spans="1:9" s="12" customFormat="1" ht="12.75" hidden="1">
      <c r="A174" s="341" t="s">
        <v>111</v>
      </c>
      <c r="B174" s="341"/>
      <c r="C174" s="341"/>
      <c r="D174" s="341"/>
      <c r="E174" s="342"/>
      <c r="F174" s="343">
        <f>+'Anexo Ingresos'!C121</f>
        <v>0</v>
      </c>
      <c r="G174" s="343"/>
      <c r="H174" s="343">
        <f>+G174-F174</f>
        <v>0</v>
      </c>
      <c r="I174" s="344" t="str">
        <f>IF(F174=0,"S/P",+H174/F174)</f>
        <v>S/P</v>
      </c>
    </row>
    <row r="175" spans="1:9" s="15" customFormat="1" ht="12.75" hidden="1" customHeight="1">
      <c r="B175" s="25" t="s">
        <v>112</v>
      </c>
      <c r="E175" s="46"/>
      <c r="F175" s="84"/>
      <c r="G175" s="84"/>
      <c r="H175" s="84"/>
      <c r="I175" s="84"/>
    </row>
    <row r="176" spans="1:9" s="133" customFormat="1" ht="16.5" hidden="1">
      <c r="A176" s="128" t="s">
        <v>113</v>
      </c>
      <c r="B176" s="129"/>
      <c r="C176" s="129"/>
      <c r="D176" s="129"/>
      <c r="E176" s="130"/>
      <c r="F176" s="131">
        <f>+SUM(F178:F184)</f>
        <v>0</v>
      </c>
      <c r="G176" s="131">
        <f>+SUM(G177:G185)</f>
        <v>0</v>
      </c>
      <c r="H176" s="131">
        <f>+SUM(H177:H185)</f>
        <v>0</v>
      </c>
      <c r="I176" s="132" t="str">
        <f>IF(F176=0,"S/P",+H176/F176)</f>
        <v>S/P</v>
      </c>
    </row>
    <row r="177" spans="1:9" s="133" customFormat="1" ht="9.75" hidden="1" customHeight="1"/>
    <row r="178" spans="1:9" s="138" customFormat="1" ht="12.75" hidden="1">
      <c r="A178" s="134" t="s">
        <v>114</v>
      </c>
      <c r="B178" s="134"/>
      <c r="C178" s="134"/>
      <c r="D178" s="134"/>
      <c r="E178" s="135"/>
      <c r="F178" s="136">
        <f>-'Anexo Gastos '!C279</f>
        <v>0</v>
      </c>
      <c r="G178" s="136"/>
      <c r="H178" s="136">
        <f>+G178-F178</f>
        <v>0</v>
      </c>
      <c r="I178" s="137" t="str">
        <f>IF(F178=0,"S/P",+H178/F178)</f>
        <v>S/P</v>
      </c>
    </row>
    <row r="179" spans="1:9" s="139" customFormat="1" ht="12.75" hidden="1" customHeight="1">
      <c r="B179" s="140" t="s">
        <v>115</v>
      </c>
      <c r="E179" s="141"/>
      <c r="F179" s="142"/>
      <c r="G179" s="142"/>
      <c r="H179" s="142"/>
      <c r="I179" s="142"/>
    </row>
    <row r="180" spans="1:9" s="138" customFormat="1" ht="12.75" hidden="1">
      <c r="A180" s="134" t="s">
        <v>116</v>
      </c>
      <c r="B180" s="134"/>
      <c r="C180" s="134"/>
      <c r="D180" s="134"/>
      <c r="E180" s="135"/>
      <c r="F180" s="136">
        <f>-'Anexo Gastos '!C285</f>
        <v>0</v>
      </c>
      <c r="G180" s="136"/>
      <c r="H180" s="136">
        <f>+G180-F180</f>
        <v>0</v>
      </c>
      <c r="I180" s="137" t="str">
        <f>IF(F180=0,"S/P",+H180/F180)</f>
        <v>S/P</v>
      </c>
    </row>
    <row r="181" spans="1:9" s="139" customFormat="1" ht="12.75" hidden="1" customHeight="1">
      <c r="B181" s="140" t="s">
        <v>164</v>
      </c>
      <c r="E181" s="141"/>
      <c r="F181" s="142"/>
      <c r="G181" s="142"/>
      <c r="H181" s="142"/>
      <c r="I181" s="142"/>
    </row>
    <row r="182" spans="1:9" s="138" customFormat="1" ht="12.75" hidden="1">
      <c r="A182" s="134" t="s">
        <v>118</v>
      </c>
      <c r="B182" s="134"/>
      <c r="C182" s="134"/>
      <c r="D182" s="134"/>
      <c r="E182" s="135"/>
      <c r="F182" s="136">
        <f>-'Anexo Gastos '!C291</f>
        <v>0</v>
      </c>
      <c r="G182" s="136"/>
      <c r="H182" s="136">
        <f>+G182-F182</f>
        <v>0</v>
      </c>
      <c r="I182" s="137" t="str">
        <f>IF(F182=0,"S/P",+H182/F182)</f>
        <v>S/P</v>
      </c>
    </row>
    <row r="183" spans="1:9" s="139" customFormat="1" ht="12.75" hidden="1" customHeight="1">
      <c r="B183" s="140" t="s">
        <v>119</v>
      </c>
      <c r="E183" s="141"/>
      <c r="F183" s="142"/>
      <c r="G183" s="142"/>
      <c r="H183" s="142"/>
      <c r="I183" s="142"/>
    </row>
    <row r="184" spans="1:9" s="138" customFormat="1" ht="12.75" hidden="1">
      <c r="A184" s="134" t="s">
        <v>120</v>
      </c>
      <c r="B184" s="134"/>
      <c r="C184" s="134"/>
      <c r="D184" s="134"/>
      <c r="E184" s="135"/>
      <c r="F184" s="136">
        <f>-'Anexo Gastos '!C297</f>
        <v>0</v>
      </c>
      <c r="G184" s="136"/>
      <c r="H184" s="136">
        <f>+G184-F184</f>
        <v>0</v>
      </c>
      <c r="I184" s="137" t="str">
        <f>IF(F184=0,"S/P",+H184/F184)</f>
        <v>S/P</v>
      </c>
    </row>
    <row r="185" spans="1:9" s="139" customFormat="1" ht="12.75" hidden="1" customHeight="1">
      <c r="B185" s="140" t="s">
        <v>121</v>
      </c>
      <c r="E185" s="141"/>
      <c r="F185" s="142"/>
      <c r="G185" s="142"/>
      <c r="H185" s="142"/>
      <c r="I185" s="142"/>
    </row>
    <row r="186" spans="1:9" s="63" customFormat="1" ht="16.5" hidden="1">
      <c r="A186" s="108" t="s">
        <v>122</v>
      </c>
      <c r="B186" s="109"/>
      <c r="C186" s="109"/>
      <c r="D186" s="109"/>
      <c r="E186" s="110"/>
      <c r="F186" s="111">
        <f>+F190+F188</f>
        <v>0</v>
      </c>
      <c r="G186" s="111">
        <f>+SUM(G187:G191)</f>
        <v>0</v>
      </c>
      <c r="H186" s="111">
        <f>+SUM(H187:H191)</f>
        <v>0</v>
      </c>
      <c r="I186" s="143" t="str">
        <f>IF(F186=0,"S/P",+H186/F186)</f>
        <v>S/P</v>
      </c>
    </row>
    <row r="187" spans="1:9" s="63" customFormat="1" ht="9.75" hidden="1" customHeight="1"/>
    <row r="188" spans="1:9" s="12" customFormat="1" ht="12.75" hidden="1">
      <c r="A188" s="134" t="s">
        <v>165</v>
      </c>
      <c r="B188" s="134"/>
      <c r="C188" s="341"/>
      <c r="D188" s="341"/>
      <c r="E188" s="342"/>
      <c r="F188" s="343"/>
      <c r="G188" s="136"/>
      <c r="H188" s="136">
        <f>+G188-F188</f>
        <v>0</v>
      </c>
      <c r="I188" s="137" t="str">
        <f>IF(F188=0,"S/P",+H188/F188)</f>
        <v>S/P</v>
      </c>
    </row>
    <row r="189" spans="1:9" s="15" customFormat="1" ht="12.75" hidden="1" customHeight="1">
      <c r="A189" s="139"/>
      <c r="B189" s="140" t="s">
        <v>124</v>
      </c>
      <c r="E189" s="46"/>
      <c r="F189" s="84"/>
      <c r="G189" s="84"/>
      <c r="H189" s="84"/>
      <c r="I189" s="84"/>
    </row>
    <row r="190" spans="1:9" s="12" customFormat="1" ht="12.75" hidden="1">
      <c r="A190" s="341" t="s">
        <v>125</v>
      </c>
      <c r="B190" s="341"/>
      <c r="C190" s="341"/>
      <c r="D190" s="341"/>
      <c r="E190" s="342"/>
      <c r="F190" s="343"/>
      <c r="G190" s="343"/>
      <c r="H190" s="343">
        <f>+G190-F190</f>
        <v>0</v>
      </c>
      <c r="I190" s="344" t="str">
        <f>IF(F190=0,"S/P",+H190/F190)</f>
        <v>S/P</v>
      </c>
    </row>
    <row r="191" spans="1:9" s="15" customFormat="1" ht="12.75" hidden="1" customHeight="1">
      <c r="B191" s="25" t="s">
        <v>126</v>
      </c>
      <c r="E191" s="46"/>
      <c r="F191" s="84"/>
      <c r="G191" s="84"/>
      <c r="H191" s="84"/>
      <c r="I191" s="84"/>
    </row>
    <row r="192" spans="1:9" s="63" customFormat="1" ht="16.5" hidden="1">
      <c r="A192" s="124" t="s">
        <v>166</v>
      </c>
      <c r="B192" s="125"/>
      <c r="C192" s="125"/>
      <c r="D192" s="125"/>
      <c r="E192" s="126"/>
      <c r="F192" s="127">
        <f>+F166+F176+F186</f>
        <v>0</v>
      </c>
      <c r="G192" s="127">
        <f>+G166+G176+G186</f>
        <v>0</v>
      </c>
      <c r="H192" s="127">
        <f>+H166+H176+H186</f>
        <v>0</v>
      </c>
      <c r="I192" s="127" t="str">
        <f>IF(F192=0,"S/P",+H192/F192)</f>
        <v>S/P</v>
      </c>
    </row>
    <row r="193" spans="1:9" s="63" customFormat="1" ht="14.25" customHeight="1"/>
    <row r="194" spans="1:9" s="63" customFormat="1" ht="16.5">
      <c r="A194" s="124" t="s">
        <v>128</v>
      </c>
      <c r="B194" s="125"/>
      <c r="C194" s="125"/>
      <c r="D194" s="125"/>
      <c r="E194" s="126"/>
      <c r="F194" s="127" t="e">
        <f>+F164+F192</f>
        <v>#N/A</v>
      </c>
      <c r="G194" s="127">
        <f>+G164+G192</f>
        <v>0</v>
      </c>
      <c r="H194" s="127" t="e">
        <f>+H164+H192</f>
        <v>#N/A</v>
      </c>
      <c r="I194" s="127" t="e">
        <f>IF(F194=0,"S/P",+H194/F194)</f>
        <v>#N/A</v>
      </c>
    </row>
    <row r="195" spans="1:9" s="63" customFormat="1" ht="20.25" customHeight="1"/>
    <row r="196" spans="1:9" ht="18">
      <c r="A196" s="1"/>
      <c r="F196" s="43"/>
      <c r="G196" s="43"/>
      <c r="H196" s="43"/>
      <c r="I196" s="43"/>
    </row>
    <row r="197" spans="1:9">
      <c r="D197" s="349" t="s">
        <v>129</v>
      </c>
      <c r="F197" s="45" t="s">
        <v>0</v>
      </c>
      <c r="G197" s="45" t="s">
        <v>1</v>
      </c>
      <c r="H197" s="45" t="s">
        <v>2</v>
      </c>
      <c r="I197" s="45" t="s">
        <v>130</v>
      </c>
    </row>
    <row r="198" spans="1:9">
      <c r="D198" s="321" t="s">
        <v>131</v>
      </c>
      <c r="E198" s="322"/>
      <c r="F198" s="88">
        <f>+F2+F25+IF(F48&gt;0,F48,0)+F52+F84+F148+F154+IF(F158&gt;0,F158,0)+F166+IF(F186&gt;0,F186,0)</f>
        <v>0</v>
      </c>
      <c r="G198" s="88">
        <f>+G2+G25+IF(G48&gt;0,G48,0)+G52+G84+G148+G154+IF(G158&gt;0,G158,0)+G166+IF(G186&gt;0,G186,0)</f>
        <v>0</v>
      </c>
      <c r="H198" s="88">
        <f>+G198-E198</f>
        <v>0</v>
      </c>
      <c r="I198" s="151" t="str">
        <f>IF(F198=0,"S/P",+H198/F198)</f>
        <v>S/P</v>
      </c>
    </row>
    <row r="199" spans="1:9">
      <c r="D199" s="321" t="s">
        <v>132</v>
      </c>
      <c r="E199" s="322"/>
      <c r="F199" s="88" t="e">
        <f>-F38-IF(F48&lt;0,F48,0)-F56-F96-F104-F142-IF(F158&lt;0,F158,0)-F176-IF(F186&lt;0,F186,0)</f>
        <v>#N/A</v>
      </c>
      <c r="G199" s="88">
        <f>-G38-IF(G48&lt;0,G48,0)-G56-G96-G104-G142-IF(G158&lt;0,G158,0)-G176-IF(G186&lt;0,G186,0)</f>
        <v>0</v>
      </c>
      <c r="H199" s="88">
        <f t="shared" ref="H199:H200" si="17">+G199-E199</f>
        <v>0</v>
      </c>
      <c r="I199" s="151" t="e">
        <f t="shared" ref="I199:I200" si="18">IF(F199=0,"S/P",+H199/F199)</f>
        <v>#N/A</v>
      </c>
    </row>
    <row r="200" spans="1:9">
      <c r="D200" s="321" t="s">
        <v>133</v>
      </c>
      <c r="E200" s="322"/>
      <c r="F200" s="88" t="e">
        <f>F198-F199</f>
        <v>#N/A</v>
      </c>
      <c r="G200" s="88">
        <f>G198-G199</f>
        <v>0</v>
      </c>
      <c r="H200" s="88">
        <f t="shared" si="17"/>
        <v>0</v>
      </c>
      <c r="I200" s="151" t="e">
        <f t="shared" si="18"/>
        <v>#N/A</v>
      </c>
    </row>
  </sheetData>
  <mergeCells count="3">
    <mergeCell ref="D198:E198"/>
    <mergeCell ref="D199:E199"/>
    <mergeCell ref="D200:E200"/>
  </mergeCells>
  <conditionalFormatting sqref="F164:I164 F194:I194">
    <cfRule type="cellIs" dxfId="34" priority="7" stopIfTrue="1" operator="lessThan">
      <formula>0</formula>
    </cfRule>
  </conditionalFormatting>
  <conditionalFormatting sqref="A194">
    <cfRule type="expression" dxfId="33" priority="6" stopIfTrue="1">
      <formula>$F$194&lt;0</formula>
    </cfRule>
  </conditionalFormatting>
  <conditionalFormatting sqref="A164">
    <cfRule type="expression" dxfId="32" priority="5" stopIfTrue="1">
      <formula>$F$164&lt;0</formula>
    </cfRule>
  </conditionalFormatting>
  <conditionalFormatting sqref="F192:I192">
    <cfRule type="cellIs" dxfId="31" priority="4" stopIfTrue="1" operator="lessThan">
      <formula>0</formula>
    </cfRule>
  </conditionalFormatting>
  <conditionalFormatting sqref="A192">
    <cfRule type="expression" dxfId="30" priority="3" stopIfTrue="1">
      <formula>$F$164&lt;0</formula>
    </cfRule>
  </conditionalFormatting>
  <conditionalFormatting sqref="F194:I194">
    <cfRule type="cellIs" dxfId="29" priority="2" stopIfTrue="1" operator="lessThan">
      <formula>0</formula>
    </cfRule>
  </conditionalFormatting>
  <conditionalFormatting sqref="A194">
    <cfRule type="expression" dxfId="28" priority="1" stopIfTrue="1">
      <formula>$F$164&lt;0</formula>
    </cfRule>
  </conditionalFormatting>
  <pageMargins left="1.9291338582677167" right="0.31496062992125984" top="0.82677165354330717" bottom="0.55118110236220474" header="0.35433070866141736" footer="0.55118110236220474"/>
  <pageSetup paperSize="9" scale="49" orientation="portrait" r:id="rId1"/>
  <headerFooter alignWithMargins="0">
    <oddHeader>&amp;C&amp;20Presupuesto Centro 1
2.0XX</oddHeader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J201"/>
  <sheetViews>
    <sheetView workbookViewId="0">
      <selection activeCell="B124" sqref="B124"/>
    </sheetView>
  </sheetViews>
  <sheetFormatPr defaultColWidth="11.42578125" defaultRowHeight="15.75"/>
  <cols>
    <col min="4" max="4" width="13.7109375" customWidth="1"/>
    <col min="5" max="5" width="13.5703125" style="6" customWidth="1"/>
    <col min="6" max="6" width="19" style="5" customWidth="1"/>
    <col min="7" max="8" width="17.85546875" style="5" hidden="1" customWidth="1"/>
    <col min="9" max="9" width="9.85546875" style="5" hidden="1" customWidth="1"/>
    <col min="10" max="11" width="12.85546875" bestFit="1" customWidth="1"/>
  </cols>
  <sheetData>
    <row r="1" spans="1:9" ht="20.25" customHeight="1">
      <c r="A1" s="2"/>
      <c r="F1" s="45" t="s">
        <v>0</v>
      </c>
      <c r="G1" s="45" t="s">
        <v>1</v>
      </c>
      <c r="H1" s="45" t="s">
        <v>134</v>
      </c>
      <c r="I1" s="44" t="s">
        <v>3</v>
      </c>
    </row>
    <row r="2" spans="1:9" s="63" customFormat="1" ht="16.5">
      <c r="A2" s="58" t="s">
        <v>4</v>
      </c>
      <c r="B2" s="59"/>
      <c r="C2" s="59"/>
      <c r="D2" s="59"/>
      <c r="E2" s="60"/>
      <c r="F2" s="61">
        <f>+F6+F11+F4+F23</f>
        <v>0</v>
      </c>
      <c r="G2" s="61">
        <f>+G4+G6+G9+G11+G23</f>
        <v>0</v>
      </c>
      <c r="H2" s="61">
        <f>+G2-F2</f>
        <v>0</v>
      </c>
      <c r="I2" s="62" t="str">
        <f>IF(F2=0,"S/P",+H2/F2)</f>
        <v>S/P</v>
      </c>
    </row>
    <row r="3" spans="1:9" ht="10.5" customHeight="1">
      <c r="E3"/>
      <c r="F3" s="43"/>
      <c r="G3" s="46"/>
      <c r="H3" s="46"/>
      <c r="I3" s="47"/>
    </row>
    <row r="4" spans="1:9" s="12" customFormat="1" ht="12.75" hidden="1">
      <c r="A4" s="341" t="s">
        <v>5</v>
      </c>
      <c r="B4" s="341"/>
      <c r="C4" s="341"/>
      <c r="D4" s="341"/>
      <c r="E4" s="342"/>
      <c r="F4" s="343"/>
      <c r="G4" s="343"/>
      <c r="H4" s="343">
        <f>+G4-F4</f>
        <v>0</v>
      </c>
      <c r="I4" s="344" t="str">
        <f>IF(F4=0,"S/P",+H4/F4)</f>
        <v>S/P</v>
      </c>
    </row>
    <row r="5" spans="1:9" ht="15" hidden="1" customHeight="1">
      <c r="B5" s="25" t="s">
        <v>167</v>
      </c>
      <c r="E5" s="46"/>
      <c r="F5" s="43"/>
      <c r="G5" s="46"/>
      <c r="H5" s="46"/>
      <c r="I5" s="47"/>
    </row>
    <row r="6" spans="1:9" s="12" customFormat="1" ht="12.75">
      <c r="A6" s="341" t="s">
        <v>7</v>
      </c>
      <c r="B6" s="341"/>
      <c r="C6" s="341"/>
      <c r="D6" s="341"/>
      <c r="E6" s="342"/>
      <c r="F6" s="343">
        <f>+SUM(F7:F8)</f>
        <v>0</v>
      </c>
      <c r="G6" s="343">
        <f>+SUM(G7:G8)</f>
        <v>0</v>
      </c>
      <c r="H6" s="343">
        <f>+H7+H8</f>
        <v>0</v>
      </c>
      <c r="I6" s="344" t="str">
        <f>IF(F6=0,"S/P",+H6/F6)</f>
        <v>S/P</v>
      </c>
    </row>
    <row r="7" spans="1:9" ht="15" customHeight="1">
      <c r="B7" s="25" t="s">
        <v>168</v>
      </c>
      <c r="E7" s="40"/>
      <c r="F7" s="156">
        <f>+'Anexo Ingresos'!I41+'Anexo Ingresos'!I42</f>
        <v>0</v>
      </c>
      <c r="G7" s="40"/>
      <c r="H7" s="40">
        <f>+G7-F7</f>
        <v>0</v>
      </c>
      <c r="I7" s="148" t="str">
        <f>IF(E7=0,"S/P",+H7/E7)</f>
        <v>S/P</v>
      </c>
    </row>
    <row r="8" spans="1:9" ht="15" customHeight="1">
      <c r="B8" s="25" t="s">
        <v>136</v>
      </c>
      <c r="E8" s="40"/>
      <c r="F8" s="156">
        <f>+'Anexo Ingresos'!K41+'Anexo Ingresos'!K42</f>
        <v>0</v>
      </c>
      <c r="G8" s="40"/>
      <c r="H8" s="40">
        <f>+G8-F8</f>
        <v>0</v>
      </c>
      <c r="I8" s="148" t="str">
        <f>IF(E8=0,"S/P",+H8/E8)</f>
        <v>S/P</v>
      </c>
    </row>
    <row r="9" spans="1:9" s="12" customFormat="1" ht="12.75" hidden="1">
      <c r="A9" s="341" t="s">
        <v>9</v>
      </c>
      <c r="B9" s="341"/>
      <c r="C9" s="341"/>
      <c r="D9" s="341"/>
      <c r="E9" s="342"/>
      <c r="F9" s="343">
        <f>+'Anexo Ingresos'!E57</f>
        <v>0</v>
      </c>
      <c r="G9" s="343"/>
      <c r="H9" s="343">
        <f>+G9-F9</f>
        <v>0</v>
      </c>
      <c r="I9" s="344" t="str">
        <f>IF(F9=0,"S/P",+H9/F9)</f>
        <v>S/P</v>
      </c>
    </row>
    <row r="10" spans="1:9" ht="15" hidden="1" customHeight="1">
      <c r="B10" s="25" t="s">
        <v>10</v>
      </c>
      <c r="E10" s="46"/>
      <c r="F10" s="43"/>
      <c r="G10" s="46"/>
      <c r="H10" s="46"/>
      <c r="I10" s="47"/>
    </row>
    <row r="11" spans="1:9" s="12" customFormat="1" ht="12.75">
      <c r="A11" s="341" t="s">
        <v>11</v>
      </c>
      <c r="B11" s="341"/>
      <c r="C11" s="341"/>
      <c r="D11" s="341"/>
      <c r="E11" s="342"/>
      <c r="F11" s="343">
        <f>+SUM(F12:F22)</f>
        <v>0</v>
      </c>
      <c r="G11" s="343">
        <f>+SUM(G12:G22)</f>
        <v>0</v>
      </c>
      <c r="H11" s="343">
        <f>+SUM(H12:H22)</f>
        <v>0</v>
      </c>
      <c r="I11" s="344" t="str">
        <f>IF(F11=0,"S/P",+H11/F11)</f>
        <v>S/P</v>
      </c>
    </row>
    <row r="12" spans="1:9" s="64" customFormat="1" ht="15" hidden="1" customHeight="1">
      <c r="A12" s="15"/>
      <c r="B12" s="25">
        <f>+'Anexo Ingresos'!B64</f>
        <v>0</v>
      </c>
      <c r="C12" s="15"/>
      <c r="D12" s="15"/>
      <c r="E12" s="40"/>
      <c r="F12" s="156">
        <f>+'Anexo Ingresos'!E64</f>
        <v>0</v>
      </c>
      <c r="G12" s="156"/>
      <c r="H12" s="40">
        <f t="shared" ref="H12:H22" si="0">+G12-F12</f>
        <v>0</v>
      </c>
      <c r="I12" s="148" t="str">
        <f t="shared" ref="I12:I22" si="1">IF(E12=0,"S/P",+H12/E12)</f>
        <v>S/P</v>
      </c>
    </row>
    <row r="13" spans="1:9" s="64" customFormat="1" ht="15" hidden="1" customHeight="1">
      <c r="A13" s="15"/>
      <c r="B13" s="25">
        <f>+'Anexo Ingresos'!B65</f>
        <v>0</v>
      </c>
      <c r="C13" s="15"/>
      <c r="D13" s="15"/>
      <c r="E13" s="40"/>
      <c r="F13" s="156">
        <f>+'Anexo Ingresos'!E65</f>
        <v>0</v>
      </c>
      <c r="G13" s="156"/>
      <c r="H13" s="40">
        <f t="shared" ref="H13:H18" si="2">+G13-F13</f>
        <v>0</v>
      </c>
      <c r="I13" s="148" t="str">
        <f t="shared" ref="I13:I18" si="3">IF(E13=0,"S/P",+H13/E13)</f>
        <v>S/P</v>
      </c>
    </row>
    <row r="14" spans="1:9" s="64" customFormat="1" ht="15" customHeight="1">
      <c r="A14" s="15"/>
      <c r="B14" s="25">
        <f>+'Anexo Ingresos'!B66</f>
        <v>0</v>
      </c>
      <c r="C14" s="15"/>
      <c r="D14" s="15"/>
      <c r="E14" s="40"/>
      <c r="F14" s="156">
        <f>+'Anexo Ingresos'!E66</f>
        <v>0</v>
      </c>
      <c r="G14" s="156"/>
      <c r="H14" s="40">
        <f t="shared" si="2"/>
        <v>0</v>
      </c>
      <c r="I14" s="148" t="str">
        <f t="shared" si="3"/>
        <v>S/P</v>
      </c>
    </row>
    <row r="15" spans="1:9" s="64" customFormat="1" ht="15" customHeight="1">
      <c r="A15" s="15"/>
      <c r="B15" s="25">
        <f>+'Anexo Ingresos'!B67</f>
        <v>0</v>
      </c>
      <c r="C15" s="15"/>
      <c r="D15" s="15"/>
      <c r="E15" s="40"/>
      <c r="F15" s="156">
        <f>+'Anexo Ingresos'!E67</f>
        <v>0</v>
      </c>
      <c r="G15" s="156"/>
      <c r="H15" s="40">
        <f t="shared" si="2"/>
        <v>0</v>
      </c>
      <c r="I15" s="148" t="str">
        <f t="shared" si="3"/>
        <v>S/P</v>
      </c>
    </row>
    <row r="16" spans="1:9" s="64" customFormat="1" ht="15" customHeight="1">
      <c r="A16" s="15"/>
      <c r="B16" s="25">
        <f>+'Anexo Ingresos'!B68</f>
        <v>0</v>
      </c>
      <c r="C16" s="15"/>
      <c r="D16" s="15"/>
      <c r="E16" s="40"/>
      <c r="F16" s="156">
        <f>+'Anexo Ingresos'!E68</f>
        <v>0</v>
      </c>
      <c r="G16" s="156"/>
      <c r="H16" s="40">
        <f t="shared" si="2"/>
        <v>0</v>
      </c>
      <c r="I16" s="148" t="str">
        <f t="shared" si="3"/>
        <v>S/P</v>
      </c>
    </row>
    <row r="17" spans="1:9" s="64" customFormat="1" ht="15" hidden="1" customHeight="1">
      <c r="A17" s="15"/>
      <c r="B17" s="25" t="str">
        <f>+'Anexo Ingresos'!B69</f>
        <v>Administración 6</v>
      </c>
      <c r="C17" s="15"/>
      <c r="D17" s="15"/>
      <c r="E17" s="40"/>
      <c r="F17" s="156">
        <f>+'Anexo Ingresos'!E69</f>
        <v>0</v>
      </c>
      <c r="G17" s="156"/>
      <c r="H17" s="40">
        <f t="shared" si="2"/>
        <v>0</v>
      </c>
      <c r="I17" s="148" t="str">
        <f t="shared" si="3"/>
        <v>S/P</v>
      </c>
    </row>
    <row r="18" spans="1:9" s="64" customFormat="1" ht="15" hidden="1" customHeight="1">
      <c r="A18" s="15"/>
      <c r="B18" s="25" t="str">
        <f>+'Anexo Ingresos'!B73</f>
        <v>Donativos generales</v>
      </c>
      <c r="C18" s="15"/>
      <c r="D18" s="15"/>
      <c r="E18" s="40"/>
      <c r="F18" s="156">
        <f>+'Anexo Ingresos'!E73</f>
        <v>0</v>
      </c>
      <c r="G18" s="156"/>
      <c r="H18" s="40">
        <f t="shared" si="2"/>
        <v>0</v>
      </c>
      <c r="I18" s="148" t="str">
        <f t="shared" si="3"/>
        <v>S/P</v>
      </c>
    </row>
    <row r="19" spans="1:9" s="64" customFormat="1" ht="15" hidden="1" customHeight="1">
      <c r="A19" s="15"/>
      <c r="B19" s="25" t="str">
        <f>+'Anexo Ingresos'!B74</f>
        <v>Fundación José Otero</v>
      </c>
      <c r="C19" s="15"/>
      <c r="D19" s="15"/>
      <c r="E19" s="40"/>
      <c r="F19" s="156">
        <f>+'Anexo Ingresos'!E74</f>
        <v>0</v>
      </c>
      <c r="G19" s="156"/>
      <c r="H19" s="40">
        <f t="shared" si="0"/>
        <v>0</v>
      </c>
      <c r="I19" s="148" t="str">
        <f t="shared" si="1"/>
        <v>S/P</v>
      </c>
    </row>
    <row r="20" spans="1:9" s="64" customFormat="1" ht="15" hidden="1" customHeight="1">
      <c r="A20" s="15"/>
      <c r="B20" s="25" t="str">
        <f>+'Anexo Ingresos'!B75</f>
        <v>Fundación La Caixa</v>
      </c>
      <c r="C20" s="15"/>
      <c r="D20" s="15"/>
      <c r="E20" s="40"/>
      <c r="F20" s="156">
        <f>+'Anexo Ingresos'!E75</f>
        <v>0</v>
      </c>
      <c r="G20" s="156"/>
      <c r="H20" s="40">
        <f t="shared" si="0"/>
        <v>0</v>
      </c>
      <c r="I20" s="148" t="str">
        <f t="shared" si="1"/>
        <v>S/P</v>
      </c>
    </row>
    <row r="21" spans="1:9" s="64" customFormat="1" ht="15" hidden="1" customHeight="1">
      <c r="A21" s="15"/>
      <c r="B21" s="25" t="str">
        <f>+'Anexo Ingresos'!B76</f>
        <v>Colegio de Abogados</v>
      </c>
      <c r="C21" s="15"/>
      <c r="D21" s="15"/>
      <c r="E21" s="40"/>
      <c r="F21" s="156">
        <f>+'Anexo Ingresos'!E76</f>
        <v>0</v>
      </c>
      <c r="G21" s="156"/>
      <c r="H21" s="40">
        <f t="shared" si="0"/>
        <v>0</v>
      </c>
      <c r="I21" s="148" t="str">
        <f t="shared" si="1"/>
        <v>S/P</v>
      </c>
    </row>
    <row r="22" spans="1:9" ht="14.25" hidden="1" customHeight="1">
      <c r="B22" s="25" t="str">
        <f>+'Anexo Ingresos'!B77</f>
        <v>Fund amigo</v>
      </c>
      <c r="E22" s="149"/>
      <c r="F22" s="156">
        <f>+'Anexo Ingresos'!E77</f>
        <v>0</v>
      </c>
      <c r="G22" s="156"/>
      <c r="H22" s="40">
        <f t="shared" si="0"/>
        <v>0</v>
      </c>
      <c r="I22" s="148" t="str">
        <f t="shared" si="1"/>
        <v>S/P</v>
      </c>
    </row>
    <row r="23" spans="1:9" s="12" customFormat="1" ht="12.75">
      <c r="A23" s="341" t="s">
        <v>169</v>
      </c>
      <c r="B23" s="341"/>
      <c r="C23" s="341"/>
      <c r="D23" s="341"/>
      <c r="E23" s="342"/>
      <c r="F23" s="343"/>
      <c r="G23" s="343"/>
      <c r="H23" s="343">
        <f>+G23-F23</f>
        <v>0</v>
      </c>
      <c r="I23" s="344" t="str">
        <f>IF(F23=0,"S/P",+H23/F23)</f>
        <v>S/P</v>
      </c>
    </row>
    <row r="24" spans="1:9" s="64" customFormat="1" ht="15" customHeight="1">
      <c r="A24" s="15"/>
      <c r="B24" s="170" t="s">
        <v>14</v>
      </c>
      <c r="C24" s="15"/>
      <c r="D24" s="15"/>
      <c r="E24" s="46"/>
      <c r="F24" s="153"/>
      <c r="G24" s="46"/>
      <c r="H24" s="46"/>
      <c r="I24" s="47"/>
    </row>
    <row r="25" spans="1:9" s="63" customFormat="1" ht="16.5">
      <c r="A25" s="58" t="s">
        <v>15</v>
      </c>
      <c r="B25" s="59"/>
      <c r="C25" s="59"/>
      <c r="D25" s="59"/>
      <c r="E25" s="60"/>
      <c r="F25" s="61">
        <f>+F27+F33</f>
        <v>0</v>
      </c>
      <c r="G25" s="61">
        <f>+G27+G33</f>
        <v>0</v>
      </c>
      <c r="H25" s="61">
        <f>+G25-F25</f>
        <v>0</v>
      </c>
      <c r="I25" s="62" t="str">
        <f>IF(F25=0,"S/P",+H25/F25)</f>
        <v>S/P</v>
      </c>
    </row>
    <row r="26" spans="1:9" ht="10.5" customHeight="1">
      <c r="E26"/>
      <c r="F26" s="43"/>
      <c r="G26" s="46"/>
      <c r="H26" s="46"/>
      <c r="I26" s="47"/>
    </row>
    <row r="27" spans="1:9" s="12" customFormat="1" ht="12.75">
      <c r="A27" s="341" t="s">
        <v>16</v>
      </c>
      <c r="B27" s="341"/>
      <c r="C27" s="341"/>
      <c r="D27" s="341"/>
      <c r="E27" s="342"/>
      <c r="F27" s="343">
        <f>+SUM(F28:F32)</f>
        <v>0</v>
      </c>
      <c r="G27" s="343"/>
      <c r="H27" s="343">
        <f t="shared" ref="H27" si="4">+SUM(G28:G32)</f>
        <v>0</v>
      </c>
      <c r="I27" s="344" t="str">
        <f>IF(F27=0,"S/P",+H27/F27)</f>
        <v>S/P</v>
      </c>
    </row>
    <row r="28" spans="1:9" ht="15" customHeight="1">
      <c r="B28" s="25">
        <f>+'Anexo Ingresos'!B6</f>
        <v>0</v>
      </c>
      <c r="E28" s="40"/>
      <c r="F28" s="156">
        <f>+'Anexo Ingresos'!E6</f>
        <v>0</v>
      </c>
      <c r="G28" s="40"/>
      <c r="H28" s="40">
        <f>+G28-F28</f>
        <v>0</v>
      </c>
      <c r="I28" s="148" t="str">
        <f>IF(E28=0,"S/P",+G28/E28)</f>
        <v>S/P</v>
      </c>
    </row>
    <row r="29" spans="1:9" ht="15" customHeight="1">
      <c r="B29" s="25">
        <f>+'Anexo Ingresos'!B7</f>
        <v>0</v>
      </c>
      <c r="E29" s="40"/>
      <c r="F29" s="156">
        <f>+'Anexo Ingresos'!E7</f>
        <v>0</v>
      </c>
      <c r="G29" s="40"/>
      <c r="H29" s="40">
        <f>+G29-F29</f>
        <v>0</v>
      </c>
      <c r="I29" s="148" t="str">
        <f>IF(E29=0,"S/P",+G29/E29)</f>
        <v>S/P</v>
      </c>
    </row>
    <row r="30" spans="1:9" ht="15" customHeight="1">
      <c r="B30" s="25">
        <f>+'Anexo Ingresos'!B8</f>
        <v>0</v>
      </c>
      <c r="E30" s="40"/>
      <c r="F30" s="156">
        <f>+'Anexo Ingresos'!E8</f>
        <v>0</v>
      </c>
      <c r="G30" s="40"/>
      <c r="H30" s="40">
        <f>+G30-F30</f>
        <v>0</v>
      </c>
      <c r="I30" s="148" t="str">
        <f>IF(E30=0,"S/P",+G30/E30)</f>
        <v>S/P</v>
      </c>
    </row>
    <row r="31" spans="1:9" ht="15" customHeight="1">
      <c r="B31" s="25">
        <f>+'Anexo Ingresos'!B9</f>
        <v>0</v>
      </c>
      <c r="E31" s="40"/>
      <c r="F31" s="156">
        <f>+'Anexo Ingresos'!E9</f>
        <v>0</v>
      </c>
      <c r="G31" s="40"/>
      <c r="H31" s="40">
        <f>+G31-F31</f>
        <v>0</v>
      </c>
      <c r="I31" s="148" t="str">
        <f>IF(E31=0,"S/P",+G31/E31)</f>
        <v>S/P</v>
      </c>
    </row>
    <row r="32" spans="1:9" ht="15" customHeight="1">
      <c r="B32" s="25">
        <f>+'Anexo Ingresos'!B10</f>
        <v>0</v>
      </c>
      <c r="E32" s="40"/>
      <c r="F32" s="156">
        <f>+'Anexo Ingresos'!E10</f>
        <v>0</v>
      </c>
      <c r="G32" s="40"/>
      <c r="H32" s="40">
        <f>+G32-F32</f>
        <v>0</v>
      </c>
      <c r="I32" s="148" t="str">
        <f>IF(E32=0,"S/P",+G32/E32)</f>
        <v>S/P</v>
      </c>
    </row>
    <row r="33" spans="1:9" s="12" customFormat="1" ht="12.75">
      <c r="A33" s="341" t="s">
        <v>18</v>
      </c>
      <c r="B33" s="341"/>
      <c r="C33" s="341"/>
      <c r="D33" s="341"/>
      <c r="E33" s="342"/>
      <c r="F33" s="343">
        <f>+SUM(F34:F38)</f>
        <v>0</v>
      </c>
      <c r="G33" s="343"/>
      <c r="H33" s="343">
        <f>+SUM(H34:H38)</f>
        <v>0</v>
      </c>
      <c r="I33" s="344" t="str">
        <f>IF(F33=0,"S/P",+H33/F33)</f>
        <v>S/P</v>
      </c>
    </row>
    <row r="34" spans="1:9" ht="15" customHeight="1">
      <c r="B34" s="25">
        <f>+'Anexo Ingresos'!B18</f>
        <v>0</v>
      </c>
      <c r="E34" s="40"/>
      <c r="F34" s="156">
        <f>+'Anexo Ingresos'!E18</f>
        <v>0</v>
      </c>
      <c r="G34" s="40"/>
      <c r="H34" s="40">
        <f t="shared" ref="H34:H38" si="5">+G34-F34</f>
        <v>0</v>
      </c>
      <c r="I34" s="148" t="str">
        <f>IF(E34=0,"S/P",+G34/E34)</f>
        <v>S/P</v>
      </c>
    </row>
    <row r="35" spans="1:9" ht="15" customHeight="1">
      <c r="B35" s="25">
        <f>+'Anexo Ingresos'!B19</f>
        <v>0</v>
      </c>
      <c r="E35" s="40"/>
      <c r="F35" s="156">
        <f>+'Anexo Ingresos'!E19</f>
        <v>0</v>
      </c>
      <c r="G35" s="40"/>
      <c r="H35" s="40">
        <f t="shared" si="5"/>
        <v>0</v>
      </c>
      <c r="I35" s="148" t="str">
        <f>IF(E35=0,"S/P",+G35/E35)</f>
        <v>S/P</v>
      </c>
    </row>
    <row r="36" spans="1:9" ht="15" customHeight="1">
      <c r="B36" s="25">
        <f>+'Anexo Ingresos'!B20</f>
        <v>0</v>
      </c>
      <c r="E36" s="40"/>
      <c r="F36" s="156">
        <f>+'Anexo Ingresos'!E20</f>
        <v>0</v>
      </c>
      <c r="G36" s="40"/>
      <c r="H36" s="40">
        <f t="shared" si="5"/>
        <v>0</v>
      </c>
      <c r="I36" s="148" t="str">
        <f>IF(E36=0,"S/P",+G36/E36)</f>
        <v>S/P</v>
      </c>
    </row>
    <row r="37" spans="1:9" ht="15" customHeight="1">
      <c r="B37" s="25">
        <f>+'Anexo Ingresos'!B21</f>
        <v>0</v>
      </c>
      <c r="E37" s="40"/>
      <c r="F37" s="156">
        <f>+'Anexo Ingresos'!E21</f>
        <v>0</v>
      </c>
      <c r="G37" s="40"/>
      <c r="H37" s="40"/>
      <c r="I37" s="148"/>
    </row>
    <row r="38" spans="1:9" ht="15" customHeight="1">
      <c r="B38" s="25">
        <f>+'Anexo Ingresos'!B22</f>
        <v>0</v>
      </c>
      <c r="E38" s="40"/>
      <c r="F38" s="156">
        <f>+'Anexo Ingresos'!E22</f>
        <v>0</v>
      </c>
      <c r="G38" s="40"/>
      <c r="H38" s="40">
        <f t="shared" si="5"/>
        <v>0</v>
      </c>
      <c r="I38" s="148" t="str">
        <f>IF(E38=0,"S/P",+G38/E38)</f>
        <v>S/P</v>
      </c>
    </row>
    <row r="39" spans="1:9" s="63" customFormat="1" ht="16.5">
      <c r="A39" s="65" t="s">
        <v>20</v>
      </c>
      <c r="B39" s="66"/>
      <c r="C39" s="66"/>
      <c r="D39" s="66"/>
      <c r="E39" s="67"/>
      <c r="F39" s="68">
        <f>+SUM(F41:F48)</f>
        <v>0</v>
      </c>
      <c r="G39" s="68">
        <f>+SUM(G40:G48)</f>
        <v>0</v>
      </c>
      <c r="H39" s="68">
        <f>+SUM(H40:H48)</f>
        <v>0</v>
      </c>
      <c r="I39" s="69" t="str">
        <f>IF(F39=0,"S/P",+H39/F39)</f>
        <v>S/P</v>
      </c>
    </row>
    <row r="40" spans="1:9" s="63" customFormat="1" ht="9.75" customHeight="1"/>
    <row r="41" spans="1:9" s="12" customFormat="1" ht="12.75">
      <c r="A41" s="70" t="s">
        <v>170</v>
      </c>
      <c r="B41" s="70"/>
      <c r="C41" s="70"/>
      <c r="D41" s="70"/>
      <c r="E41" s="71"/>
      <c r="F41" s="72">
        <f>-'Anexo Gastos '!E199-'Anexo Gastos '!E205-'Anexo Gastos '!E211-'Anexo Gastos '!E217</f>
        <v>0</v>
      </c>
      <c r="G41" s="72"/>
      <c r="H41" s="72">
        <f>+G41-F41</f>
        <v>0</v>
      </c>
      <c r="I41" s="73" t="str">
        <f>IF(F41=0,"S/P",+H41/F41)</f>
        <v>S/P</v>
      </c>
    </row>
    <row r="42" spans="1:9" ht="12.75" customHeight="1">
      <c r="A42" s="74"/>
      <c r="B42" s="75" t="s">
        <v>171</v>
      </c>
      <c r="C42" s="74"/>
      <c r="D42" s="74"/>
      <c r="E42" s="76"/>
      <c r="F42" s="77"/>
      <c r="G42" s="78"/>
      <c r="H42" s="78"/>
      <c r="I42" s="78"/>
    </row>
    <row r="43" spans="1:9" s="12" customFormat="1" ht="12.75" hidden="1">
      <c r="A43" s="70" t="s">
        <v>172</v>
      </c>
      <c r="B43" s="70"/>
      <c r="C43" s="70"/>
      <c r="D43" s="70"/>
      <c r="E43" s="71"/>
      <c r="F43" s="72">
        <f>-'Anexo Gastos '!E227-'Anexo Gastos '!E233-'Anexo Gastos '!E239-'Anexo Gastos '!E245</f>
        <v>0</v>
      </c>
      <c r="G43" s="72"/>
      <c r="H43" s="72">
        <f>+G43-F43</f>
        <v>0</v>
      </c>
      <c r="I43" s="73" t="str">
        <f>IF(F43=0,"S/P",+H43/F43)</f>
        <v>S/P</v>
      </c>
    </row>
    <row r="44" spans="1:9" ht="12.75" hidden="1" customHeight="1">
      <c r="A44" s="74"/>
      <c r="B44" s="75" t="s">
        <v>173</v>
      </c>
      <c r="C44" s="74"/>
      <c r="D44" s="74"/>
      <c r="E44" s="76"/>
      <c r="F44" s="77"/>
      <c r="G44" s="78"/>
      <c r="H44" s="78"/>
      <c r="I44" s="78"/>
    </row>
    <row r="45" spans="1:9" s="12" customFormat="1" ht="12.75">
      <c r="A45" s="70" t="s">
        <v>25</v>
      </c>
      <c r="B45" s="70"/>
      <c r="C45" s="70"/>
      <c r="D45" s="70"/>
      <c r="E45" s="71"/>
      <c r="F45" s="72">
        <f>-'Anexo Gastos '!E257</f>
        <v>0</v>
      </c>
      <c r="G45" s="72"/>
      <c r="H45" s="72">
        <f>+G45-F45</f>
        <v>0</v>
      </c>
      <c r="I45" s="73" t="str">
        <f>IF(F45=0,"S/P",+H45/F45)</f>
        <v>S/P</v>
      </c>
    </row>
    <row r="46" spans="1:9" ht="12.75" customHeight="1">
      <c r="A46" s="74"/>
      <c r="B46" s="75" t="s">
        <v>26</v>
      </c>
      <c r="C46" s="74"/>
      <c r="D46" s="74"/>
      <c r="E46" s="76"/>
      <c r="F46" s="77"/>
      <c r="G46" s="78"/>
      <c r="H46" s="78"/>
      <c r="I46" s="78"/>
    </row>
    <row r="47" spans="1:9" s="12" customFormat="1" ht="12.75" hidden="1">
      <c r="A47" s="70" t="s">
        <v>27</v>
      </c>
      <c r="B47" s="70"/>
      <c r="C47" s="70"/>
      <c r="D47" s="70"/>
      <c r="E47" s="71"/>
      <c r="F47" s="72">
        <f>-'Anexo Gastos '!E269</f>
        <v>0</v>
      </c>
      <c r="G47" s="72"/>
      <c r="H47" s="72">
        <f>+G47-F47</f>
        <v>0</v>
      </c>
      <c r="I47" s="73" t="str">
        <f>IF(F47=0,"S/P",+H47/F47)</f>
        <v>S/P</v>
      </c>
    </row>
    <row r="48" spans="1:9" ht="12.75" hidden="1" customHeight="1">
      <c r="A48" s="74"/>
      <c r="B48" s="75" t="s">
        <v>28</v>
      </c>
      <c r="C48" s="74"/>
      <c r="D48" s="74"/>
      <c r="E48" s="76"/>
      <c r="F48" s="77"/>
      <c r="G48" s="78"/>
      <c r="H48" s="78"/>
      <c r="I48" s="78"/>
    </row>
    <row r="49" spans="1:9" s="63" customFormat="1" ht="16.5" hidden="1">
      <c r="A49" s="108" t="s">
        <v>29</v>
      </c>
      <c r="B49" s="109"/>
      <c r="C49" s="109"/>
      <c r="D49" s="109"/>
      <c r="E49" s="110"/>
      <c r="F49" s="111">
        <f>+F51</f>
        <v>0</v>
      </c>
      <c r="G49" s="111">
        <f>+G51</f>
        <v>0</v>
      </c>
      <c r="H49" s="111">
        <f>+G49-F49</f>
        <v>0</v>
      </c>
      <c r="I49" s="143" t="str">
        <f>IF(F49=0,"S/P",+H49/F49)</f>
        <v>S/P</v>
      </c>
    </row>
    <row r="50" spans="1:9" s="63" customFormat="1" ht="9.75" hidden="1" customHeight="1">
      <c r="A50" s="112"/>
      <c r="B50" s="112"/>
      <c r="C50" s="112"/>
      <c r="D50" s="112"/>
      <c r="E50" s="112"/>
      <c r="F50" s="112"/>
      <c r="G50" s="112"/>
      <c r="H50" s="112"/>
      <c r="I50" s="112"/>
    </row>
    <row r="51" spans="1:9" s="12" customFormat="1" ht="12.75" hidden="1">
      <c r="A51" s="113" t="s">
        <v>30</v>
      </c>
      <c r="B51" s="113"/>
      <c r="C51" s="113"/>
      <c r="D51" s="113"/>
      <c r="E51" s="114"/>
      <c r="F51" s="115"/>
      <c r="G51" s="115"/>
      <c r="H51" s="115">
        <f>+G51-F51</f>
        <v>0</v>
      </c>
      <c r="I51" s="144" t="str">
        <f>IF(F51=0,"S/P",+H51/F51)</f>
        <v>S/P</v>
      </c>
    </row>
    <row r="52" spans="1:9" ht="12.75" hidden="1" customHeight="1">
      <c r="A52" s="116"/>
      <c r="B52" s="117" t="s">
        <v>31</v>
      </c>
      <c r="C52" s="116"/>
      <c r="D52" s="116"/>
      <c r="E52" s="118"/>
      <c r="F52" s="119"/>
      <c r="G52" s="78"/>
      <c r="H52" s="78"/>
      <c r="I52" s="78"/>
    </row>
    <row r="53" spans="1:9" s="63" customFormat="1" ht="16.5" hidden="1">
      <c r="A53" s="58" t="s">
        <v>174</v>
      </c>
      <c r="B53" s="59"/>
      <c r="C53" s="59"/>
      <c r="D53" s="59"/>
      <c r="E53" s="60"/>
      <c r="F53" s="61">
        <f>+F55</f>
        <v>0</v>
      </c>
      <c r="G53" s="61">
        <f>+G55</f>
        <v>0</v>
      </c>
      <c r="H53" s="61">
        <f>+H55</f>
        <v>0</v>
      </c>
      <c r="I53" s="62" t="str">
        <f>IF(F53=0,"S/P",+H53/F53)</f>
        <v>S/P</v>
      </c>
    </row>
    <row r="54" spans="1:9" s="63" customFormat="1" ht="9.75" hidden="1" customHeight="1"/>
    <row r="55" spans="1:9" s="12" customFormat="1" ht="12.75" hidden="1">
      <c r="A55" s="341" t="s">
        <v>140</v>
      </c>
      <c r="B55" s="341"/>
      <c r="C55" s="341"/>
      <c r="D55" s="341"/>
      <c r="E55" s="342"/>
      <c r="F55" s="343"/>
      <c r="G55" s="343"/>
      <c r="H55" s="343">
        <f>+G55-F55</f>
        <v>0</v>
      </c>
      <c r="I55" s="344" t="str">
        <f>IF(F55=0,"S/P",+H55/F55)</f>
        <v>S/P</v>
      </c>
    </row>
    <row r="56" spans="1:9" ht="12.75" hidden="1" customHeight="1">
      <c r="A56" s="170"/>
      <c r="B56" s="25" t="s">
        <v>34</v>
      </c>
      <c r="C56" s="170"/>
      <c r="D56" s="170"/>
      <c r="E56" s="348"/>
      <c r="F56" s="43"/>
      <c r="G56" s="120"/>
      <c r="H56" s="120"/>
      <c r="I56" s="120"/>
    </row>
    <row r="57" spans="1:9" s="63" customFormat="1" ht="16.5">
      <c r="A57" s="65" t="s">
        <v>35</v>
      </c>
      <c r="B57" s="66"/>
      <c r="C57" s="66"/>
      <c r="D57" s="66"/>
      <c r="E57" s="67"/>
      <c r="F57" s="68">
        <f>+F59+F65+F71+F78</f>
        <v>0</v>
      </c>
      <c r="G57" s="68">
        <f>+SUM(G58:G110)</f>
        <v>0</v>
      </c>
      <c r="H57" s="68" t="e">
        <f>+SUM(H58:H110)</f>
        <v>#N/A</v>
      </c>
      <c r="I57" s="69" t="str">
        <f>IF(F57=0,"S/P",+H57/F57)</f>
        <v>S/P</v>
      </c>
    </row>
    <row r="58" spans="1:9" s="63" customFormat="1" ht="9.75" customHeight="1"/>
    <row r="59" spans="1:9" s="12" customFormat="1" ht="12.75">
      <c r="A59" s="70" t="s">
        <v>36</v>
      </c>
      <c r="B59" s="70"/>
      <c r="C59" s="70"/>
      <c r="D59" s="70"/>
      <c r="E59" s="71"/>
      <c r="F59" s="72">
        <f>+SUM(F60:F64)</f>
        <v>0</v>
      </c>
      <c r="G59" s="72">
        <f>+SUM(G60:G64)</f>
        <v>0</v>
      </c>
      <c r="H59" s="72">
        <f>+SUM(H60:H64)</f>
        <v>0</v>
      </c>
      <c r="I59" s="73" t="str">
        <f>IF(F59=0,"S/P",+H59/F59)</f>
        <v>S/P</v>
      </c>
    </row>
    <row r="60" spans="1:9" s="15" customFormat="1" ht="12.75" customHeight="1">
      <c r="A60" s="79"/>
      <c r="B60" s="75" t="str">
        <f>+'Anexo Gastos '!B6</f>
        <v>Material Actividades</v>
      </c>
      <c r="C60" s="79"/>
      <c r="D60" s="79"/>
      <c r="E60" s="150"/>
      <c r="F60" s="146">
        <f>-'Anexo Gastos '!E6</f>
        <v>0</v>
      </c>
      <c r="G60" s="146"/>
      <c r="H60" s="146">
        <f>+G60-F60</f>
        <v>0</v>
      </c>
      <c r="I60" s="147" t="str">
        <f>IF(E60=0,"S/P",+H60/E60)</f>
        <v>S/P</v>
      </c>
    </row>
    <row r="61" spans="1:9" s="15" customFormat="1" ht="12.75" customHeight="1">
      <c r="A61" s="79"/>
      <c r="B61" s="75" t="str">
        <f>+'Anexo Gastos '!B7</f>
        <v>Viveres</v>
      </c>
      <c r="C61" s="79"/>
      <c r="D61" s="79"/>
      <c r="E61" s="150"/>
      <c r="F61" s="146">
        <f>-'Anexo Gastos '!E7</f>
        <v>0</v>
      </c>
      <c r="G61" s="146"/>
      <c r="H61" s="146">
        <f t="shared" ref="H61:H82" si="6">+G61-F61</f>
        <v>0</v>
      </c>
      <c r="I61" s="147" t="str">
        <f t="shared" ref="I61:I64" si="7">IF(E61=0,"S/P",+H61/E61)</f>
        <v>S/P</v>
      </c>
    </row>
    <row r="62" spans="1:9" s="15" customFormat="1" ht="12.75" customHeight="1">
      <c r="A62" s="79"/>
      <c r="B62" s="75" t="str">
        <f>+'Anexo Gastos '!B8</f>
        <v>Ajuar, Lencería y Menaje</v>
      </c>
      <c r="C62" s="79"/>
      <c r="D62" s="79"/>
      <c r="E62" s="150"/>
      <c r="F62" s="146">
        <f>-'Anexo Gastos '!E8</f>
        <v>0</v>
      </c>
      <c r="G62" s="146"/>
      <c r="H62" s="146">
        <f t="shared" si="6"/>
        <v>0</v>
      </c>
      <c r="I62" s="147" t="str">
        <f t="shared" si="7"/>
        <v>S/P</v>
      </c>
    </row>
    <row r="63" spans="1:9" s="15" customFormat="1" ht="12.75" hidden="1" customHeight="1">
      <c r="A63" s="79"/>
      <c r="B63" s="75">
        <f>+'Anexo Gastos '!B9</f>
        <v>0</v>
      </c>
      <c r="C63" s="79"/>
      <c r="D63" s="79"/>
      <c r="E63" s="150"/>
      <c r="F63" s="146">
        <f>-'Anexo Gastos '!E9</f>
        <v>0</v>
      </c>
      <c r="G63" s="146"/>
      <c r="H63" s="146">
        <f t="shared" si="6"/>
        <v>0</v>
      </c>
      <c r="I63" s="147" t="str">
        <f t="shared" si="7"/>
        <v>S/P</v>
      </c>
    </row>
    <row r="64" spans="1:9" s="15" customFormat="1" ht="12.75" hidden="1" customHeight="1">
      <c r="A64" s="79"/>
      <c r="B64" s="75">
        <f>+'Anexo Gastos '!B10</f>
        <v>0</v>
      </c>
      <c r="C64" s="79"/>
      <c r="D64" s="79"/>
      <c r="E64" s="150"/>
      <c r="F64" s="146">
        <f>-'Anexo Gastos '!E10</f>
        <v>0</v>
      </c>
      <c r="G64" s="146"/>
      <c r="H64" s="146">
        <f t="shared" si="6"/>
        <v>0</v>
      </c>
      <c r="I64" s="147" t="str">
        <f t="shared" si="7"/>
        <v>S/P</v>
      </c>
    </row>
    <row r="65" spans="1:9" s="12" customFormat="1" ht="12.75">
      <c r="A65" s="70" t="s">
        <v>38</v>
      </c>
      <c r="B65" s="70"/>
      <c r="C65" s="70"/>
      <c r="D65" s="70"/>
      <c r="E65" s="71"/>
      <c r="F65" s="72">
        <f>+SUM(F66:F70)</f>
        <v>0</v>
      </c>
      <c r="G65" s="72">
        <f>+SUM(G66:G70)</f>
        <v>0</v>
      </c>
      <c r="H65" s="72">
        <f>+SUM(H66:H70)</f>
        <v>0</v>
      </c>
      <c r="I65" s="73" t="str">
        <f>IF(F65=0,"S/P",+H65/F65)</f>
        <v>S/P</v>
      </c>
    </row>
    <row r="66" spans="1:9" s="15" customFormat="1" ht="12.75" customHeight="1">
      <c r="A66" s="79"/>
      <c r="B66" s="75" t="str">
        <f>+'Anexo Gastos '!B19</f>
        <v>Materias primas talleres</v>
      </c>
      <c r="C66" s="79"/>
      <c r="D66" s="79"/>
      <c r="E66" s="150"/>
      <c r="F66" s="146">
        <f>-'Anexo Gastos '!E19</f>
        <v>0</v>
      </c>
      <c r="G66" s="146"/>
      <c r="H66" s="146">
        <f t="shared" si="6"/>
        <v>0</v>
      </c>
      <c r="I66" s="147" t="str">
        <f>IF(E66=0,"S/P",+H66/E66)</f>
        <v>S/P</v>
      </c>
    </row>
    <row r="67" spans="1:9" s="15" customFormat="1" ht="12.75" hidden="1" customHeight="1">
      <c r="A67" s="79"/>
      <c r="B67" s="75" t="str">
        <f>+'Anexo Gastos '!B20</f>
        <v>Producto 2</v>
      </c>
      <c r="C67" s="79"/>
      <c r="D67" s="79"/>
      <c r="E67" s="150"/>
      <c r="F67" s="146">
        <f>-'Anexo Gastos '!E20</f>
        <v>0</v>
      </c>
      <c r="G67" s="146"/>
      <c r="H67" s="146">
        <f t="shared" si="6"/>
        <v>0</v>
      </c>
      <c r="I67" s="147" t="str">
        <f t="shared" ref="I67:I70" si="8">IF(E67=0,"S/P",+H67/E67)</f>
        <v>S/P</v>
      </c>
    </row>
    <row r="68" spans="1:9" s="15" customFormat="1" ht="12.75" hidden="1" customHeight="1">
      <c r="A68" s="79"/>
      <c r="B68" s="75" t="str">
        <f>+'Anexo Gastos '!B21</f>
        <v>Producto 3</v>
      </c>
      <c r="C68" s="79"/>
      <c r="D68" s="79"/>
      <c r="E68" s="150"/>
      <c r="F68" s="146">
        <f>-'Anexo Gastos '!E21</f>
        <v>0</v>
      </c>
      <c r="G68" s="146"/>
      <c r="H68" s="146">
        <f t="shared" si="6"/>
        <v>0</v>
      </c>
      <c r="I68" s="147" t="str">
        <f t="shared" si="8"/>
        <v>S/P</v>
      </c>
    </row>
    <row r="69" spans="1:9" s="15" customFormat="1" ht="12.75" hidden="1" customHeight="1">
      <c r="A69" s="79"/>
      <c r="B69" s="75" t="str">
        <f>+'Anexo Gastos '!B22</f>
        <v>Producto 4</v>
      </c>
      <c r="C69" s="79"/>
      <c r="D69" s="79"/>
      <c r="E69" s="150"/>
      <c r="F69" s="146">
        <f>-'Anexo Gastos '!E22</f>
        <v>0</v>
      </c>
      <c r="G69" s="146"/>
      <c r="H69" s="146">
        <f t="shared" si="6"/>
        <v>0</v>
      </c>
      <c r="I69" s="147" t="str">
        <f t="shared" si="8"/>
        <v>S/P</v>
      </c>
    </row>
    <row r="70" spans="1:9" s="15" customFormat="1" ht="12.75" hidden="1" customHeight="1">
      <c r="A70" s="79"/>
      <c r="B70" s="75" t="str">
        <f>+'Anexo Gastos '!B23</f>
        <v>Producto 5</v>
      </c>
      <c r="C70" s="79"/>
      <c r="D70" s="79"/>
      <c r="E70" s="150"/>
      <c r="F70" s="146">
        <f>-'Anexo Gastos '!E23</f>
        <v>0</v>
      </c>
      <c r="G70" s="146"/>
      <c r="H70" s="146">
        <f t="shared" si="6"/>
        <v>0</v>
      </c>
      <c r="I70" s="147" t="str">
        <f t="shared" si="8"/>
        <v>S/P</v>
      </c>
    </row>
    <row r="71" spans="1:9" s="12" customFormat="1" ht="12.75">
      <c r="A71" s="70" t="s">
        <v>40</v>
      </c>
      <c r="B71" s="70"/>
      <c r="C71" s="70"/>
      <c r="D71" s="70"/>
      <c r="E71" s="71"/>
      <c r="F71" s="72">
        <f>SUM(F72:F77)</f>
        <v>0</v>
      </c>
      <c r="G71" s="72">
        <f>+SUM(G72:G75)</f>
        <v>0</v>
      </c>
      <c r="H71" s="72">
        <f>+SUM(H72:H75)</f>
        <v>0</v>
      </c>
      <c r="I71" s="73" t="str">
        <f>IF(F71=0,"S/P",+H71/F71)</f>
        <v>S/P</v>
      </c>
    </row>
    <row r="72" spans="1:9" s="15" customFormat="1" ht="12.75" customHeight="1">
      <c r="A72" s="79"/>
      <c r="B72" s="75" t="str">
        <f>+'Anexo Gastos '!B31</f>
        <v>Material Limpeza y aseo</v>
      </c>
      <c r="C72" s="79"/>
      <c r="D72" s="79"/>
      <c r="E72" s="150"/>
      <c r="F72" s="146">
        <f>-'Anexo Gastos '!E31</f>
        <v>0</v>
      </c>
      <c r="G72" s="146"/>
      <c r="H72" s="146">
        <f t="shared" si="6"/>
        <v>0</v>
      </c>
      <c r="I72" s="147" t="str">
        <f>IF(E72=0,"S/P",+H72/E72)</f>
        <v>S/P</v>
      </c>
    </row>
    <row r="73" spans="1:9" s="15" customFormat="1" ht="12.75" hidden="1" customHeight="1">
      <c r="A73" s="79"/>
      <c r="B73" s="75" t="str">
        <f>+'Anexo Gastos '!B32</f>
        <v>Lavanderia-Compras</v>
      </c>
      <c r="C73" s="79"/>
      <c r="D73" s="79"/>
      <c r="E73" s="150"/>
      <c r="F73" s="146">
        <f>-'Anexo Gastos '!E32</f>
        <v>0</v>
      </c>
      <c r="G73" s="146"/>
      <c r="H73" s="146">
        <f t="shared" si="6"/>
        <v>0</v>
      </c>
      <c r="I73" s="147" t="str">
        <f t="shared" ref="I73:I75" si="9">IF(E73=0,"S/P",+H73/E73)</f>
        <v>S/P</v>
      </c>
    </row>
    <row r="74" spans="1:9" s="15" customFormat="1" ht="12.75" customHeight="1">
      <c r="A74" s="79"/>
      <c r="B74" s="75" t="str">
        <f>+'Anexo Gastos '!B33</f>
        <v>Material Sanitario e Farmaceutico</v>
      </c>
      <c r="C74" s="79"/>
      <c r="D74" s="79"/>
      <c r="E74" s="150"/>
      <c r="F74" s="146">
        <f>-'Anexo Gastos '!E33</f>
        <v>0</v>
      </c>
      <c r="G74" s="146"/>
      <c r="H74" s="146">
        <f t="shared" si="6"/>
        <v>0</v>
      </c>
      <c r="I74" s="147" t="str">
        <f t="shared" si="9"/>
        <v>S/P</v>
      </c>
    </row>
    <row r="75" spans="1:9" s="15" customFormat="1" ht="12.75" customHeight="1">
      <c r="A75" s="79"/>
      <c r="B75" s="75">
        <f>+'Anexo Gastos '!B34</f>
        <v>0</v>
      </c>
      <c r="C75" s="79"/>
      <c r="D75" s="79"/>
      <c r="E75" s="150"/>
      <c r="F75" s="146">
        <f>-'Anexo Gastos '!E34</f>
        <v>0</v>
      </c>
      <c r="G75" s="146"/>
      <c r="H75" s="146">
        <f t="shared" si="6"/>
        <v>0</v>
      </c>
      <c r="I75" s="147" t="str">
        <f t="shared" si="9"/>
        <v>S/P</v>
      </c>
    </row>
    <row r="76" spans="1:9" s="15" customFormat="1" ht="12.75" customHeight="1">
      <c r="A76" s="79"/>
      <c r="B76" s="75">
        <f>+'Anexo Gastos '!B35</f>
        <v>0</v>
      </c>
      <c r="C76" s="79"/>
      <c r="D76" s="79"/>
      <c r="E76" s="150"/>
      <c r="F76" s="146">
        <f>-'Anexo Gastos '!E35</f>
        <v>0</v>
      </c>
      <c r="G76" s="146"/>
      <c r="H76" s="146"/>
      <c r="I76" s="147"/>
    </row>
    <row r="77" spans="1:9" s="15" customFormat="1" ht="12.75" customHeight="1">
      <c r="A77" s="79"/>
      <c r="B77" s="75" t="str">
        <f>+'Anexo Gastos '!B36</f>
        <v>Compras Otros aprovisionamientos</v>
      </c>
      <c r="C77" s="79"/>
      <c r="D77" s="79"/>
      <c r="E77" s="150"/>
      <c r="F77" s="146">
        <f>-'Anexo Gastos '!E36</f>
        <v>0</v>
      </c>
      <c r="G77" s="146"/>
      <c r="H77" s="146"/>
      <c r="I77" s="147"/>
    </row>
    <row r="78" spans="1:9" s="12" customFormat="1" ht="12.75">
      <c r="A78" s="70" t="s">
        <v>42</v>
      </c>
      <c r="B78" s="70"/>
      <c r="C78" s="70"/>
      <c r="D78" s="70"/>
      <c r="E78" s="71"/>
      <c r="F78" s="72">
        <f>+SUM(F79:F84)</f>
        <v>0</v>
      </c>
      <c r="G78" s="72">
        <f>+SUM(G79:G82)</f>
        <v>0</v>
      </c>
      <c r="H78" s="72">
        <f>+SUM(H79:H82)</f>
        <v>0</v>
      </c>
      <c r="I78" s="73" t="str">
        <f>IF(F78=0,"S/P",+H78/F78)</f>
        <v>S/P</v>
      </c>
    </row>
    <row r="79" spans="1:9" s="15" customFormat="1" ht="12.75" customHeight="1">
      <c r="A79" s="79"/>
      <c r="B79" s="75" t="str">
        <f>+'Anexo Gastos '!B44</f>
        <v>Desratización e Higienización</v>
      </c>
      <c r="C79" s="79"/>
      <c r="D79" s="79"/>
      <c r="E79" s="150"/>
      <c r="F79" s="146">
        <f>-'Anexo Gastos '!E44</f>
        <v>0</v>
      </c>
      <c r="G79" s="146"/>
      <c r="H79" s="146">
        <f t="shared" si="6"/>
        <v>0</v>
      </c>
      <c r="I79" s="147" t="str">
        <f>IF(E79=0,"S/P",+H79/E79)</f>
        <v>S/P</v>
      </c>
    </row>
    <row r="80" spans="1:9" s="15" customFormat="1" ht="12.75" customHeight="1">
      <c r="A80" s="79"/>
      <c r="B80" s="75" t="str">
        <f>+'Anexo Gastos '!B45</f>
        <v>Gastos Actividades</v>
      </c>
      <c r="C80" s="79"/>
      <c r="D80" s="79"/>
      <c r="E80" s="150"/>
      <c r="F80" s="146">
        <f>-'Anexo Gastos '!E45</f>
        <v>0</v>
      </c>
      <c r="G80" s="146"/>
      <c r="H80" s="146">
        <f t="shared" si="6"/>
        <v>0</v>
      </c>
      <c r="I80" s="147" t="str">
        <f t="shared" ref="I80:I82" si="10">IF(E80=0,"S/P",+H80/E80)</f>
        <v>S/P</v>
      </c>
    </row>
    <row r="81" spans="1:9" s="15" customFormat="1" ht="12.75" customHeight="1">
      <c r="A81" s="79"/>
      <c r="B81" s="75" t="str">
        <f>+'Anexo Gastos '!B46</f>
        <v>Ajuste social, ocio y tiempo libre</v>
      </c>
      <c r="C81" s="79"/>
      <c r="D81" s="79"/>
      <c r="E81" s="150"/>
      <c r="F81" s="146">
        <f>-'Anexo Gastos '!E46</f>
        <v>0</v>
      </c>
      <c r="G81" s="146"/>
      <c r="H81" s="146">
        <f t="shared" si="6"/>
        <v>0</v>
      </c>
      <c r="I81" s="147" t="str">
        <f t="shared" si="10"/>
        <v>S/P</v>
      </c>
    </row>
    <row r="82" spans="1:9" s="15" customFormat="1" ht="12.75" customHeight="1">
      <c r="A82" s="79"/>
      <c r="B82" s="75" t="str">
        <f>+'Anexo Gastos '!B47</f>
        <v>Gasto Transporte</v>
      </c>
      <c r="C82" s="79"/>
      <c r="D82" s="79"/>
      <c r="E82" s="150"/>
      <c r="F82" s="146">
        <f>-'Anexo Gastos '!E47</f>
        <v>0</v>
      </c>
      <c r="G82" s="146"/>
      <c r="H82" s="146">
        <f t="shared" si="6"/>
        <v>0</v>
      </c>
      <c r="I82" s="147" t="str">
        <f t="shared" si="10"/>
        <v>S/P</v>
      </c>
    </row>
    <row r="83" spans="1:9" s="15" customFormat="1" ht="12.75" customHeight="1">
      <c r="A83" s="79"/>
      <c r="B83" s="75" t="str">
        <f>+'Anexo Gastos '!B48</f>
        <v>Servicios de Lavandería (CEE)</v>
      </c>
      <c r="C83" s="79"/>
      <c r="D83" s="79"/>
      <c r="E83" s="150"/>
      <c r="F83" s="146">
        <f>-'Anexo Gastos '!E48</f>
        <v>0</v>
      </c>
      <c r="G83" s="146"/>
      <c r="H83" s="146"/>
      <c r="I83" s="147"/>
    </row>
    <row r="84" spans="1:9" s="15" customFormat="1" ht="12.75" customHeight="1">
      <c r="A84" s="79"/>
      <c r="B84" s="75"/>
      <c r="C84" s="79"/>
      <c r="D84" s="79"/>
      <c r="E84" s="150"/>
      <c r="F84" s="146"/>
      <c r="G84" s="146"/>
      <c r="H84" s="146"/>
      <c r="I84" s="147"/>
    </row>
    <row r="85" spans="1:9" s="63" customFormat="1" ht="16.5">
      <c r="A85" s="58" t="s">
        <v>44</v>
      </c>
      <c r="B85" s="59"/>
      <c r="C85" s="59"/>
      <c r="D85" s="59"/>
      <c r="E85" s="60"/>
      <c r="F85" s="61">
        <f>+SUM(F87:F96)</f>
        <v>0</v>
      </c>
      <c r="G85" s="61">
        <f>+SUM(G86:G96)</f>
        <v>0</v>
      </c>
      <c r="H85" s="61">
        <f>+SUM(H86:H96)</f>
        <v>0</v>
      </c>
      <c r="I85" s="62" t="str">
        <f>IF(F85=0,"S/P",+H85/F85)</f>
        <v>S/P</v>
      </c>
    </row>
    <row r="86" spans="1:9" s="63" customFormat="1" ht="9.75" customHeight="1"/>
    <row r="87" spans="1:9" s="12" customFormat="1" ht="12.75">
      <c r="A87" s="341" t="s">
        <v>45</v>
      </c>
      <c r="B87" s="341"/>
      <c r="C87" s="341"/>
      <c r="D87" s="341"/>
      <c r="E87" s="342"/>
      <c r="F87" s="343">
        <f>+'Anexo Ingresos'!E87</f>
        <v>0</v>
      </c>
      <c r="G87" s="343"/>
      <c r="H87" s="343">
        <f>+G87-F87</f>
        <v>0</v>
      </c>
      <c r="I87" s="344" t="str">
        <f>IF(F87=0,"S/P",+H87/F87)</f>
        <v>S/P</v>
      </c>
    </row>
    <row r="88" spans="1:9" s="12" customFormat="1" ht="12.75" customHeight="1">
      <c r="A88" s="170"/>
      <c r="B88" s="25" t="s">
        <v>46</v>
      </c>
      <c r="C88" s="170"/>
      <c r="D88" s="170"/>
      <c r="E88" s="348"/>
      <c r="F88" s="43"/>
      <c r="G88" s="120"/>
      <c r="H88" s="120"/>
      <c r="I88" s="120"/>
    </row>
    <row r="89" spans="1:9" s="12" customFormat="1" ht="12.75">
      <c r="A89" s="341" t="s">
        <v>47</v>
      </c>
      <c r="B89" s="341"/>
      <c r="C89" s="341"/>
      <c r="D89" s="341"/>
      <c r="E89" s="342"/>
      <c r="F89" s="343"/>
      <c r="G89" s="343"/>
      <c r="H89" s="343">
        <f>+G89-F89</f>
        <v>0</v>
      </c>
      <c r="I89" s="344" t="str">
        <f>IF(F89=0,"S/P",+H89/F89)</f>
        <v>S/P</v>
      </c>
    </row>
    <row r="90" spans="1:9" s="12" customFormat="1" ht="12.75" customHeight="1">
      <c r="A90" s="170"/>
      <c r="B90" s="25" t="s">
        <v>175</v>
      </c>
      <c r="C90" s="170"/>
      <c r="D90" s="170"/>
      <c r="E90" s="348"/>
      <c r="F90" s="43"/>
      <c r="G90" s="120"/>
      <c r="H90" s="120"/>
      <c r="I90" s="120"/>
    </row>
    <row r="91" spans="1:9" s="12" customFormat="1" ht="12.75">
      <c r="A91" s="341" t="s">
        <v>176</v>
      </c>
      <c r="B91" s="341"/>
      <c r="C91" s="341"/>
      <c r="D91" s="341"/>
      <c r="E91" s="342"/>
      <c r="F91" s="343"/>
      <c r="G91" s="343"/>
      <c r="H91" s="343">
        <f>+G91-F91</f>
        <v>0</v>
      </c>
      <c r="I91" s="344" t="str">
        <f>IF(F91=0,"S/P",+H91/F91)</f>
        <v>S/P</v>
      </c>
    </row>
    <row r="92" spans="1:9" s="12" customFormat="1" ht="12.75" customHeight="1">
      <c r="A92" s="170"/>
      <c r="B92" s="25" t="s">
        <v>50</v>
      </c>
      <c r="C92" s="170"/>
      <c r="D92" s="170"/>
      <c r="E92" s="348"/>
      <c r="F92" s="43"/>
      <c r="G92" s="120"/>
      <c r="H92" s="120"/>
      <c r="I92" s="120"/>
    </row>
    <row r="93" spans="1:9" s="12" customFormat="1" ht="12.75">
      <c r="A93" s="341" t="s">
        <v>51</v>
      </c>
      <c r="B93" s="341"/>
      <c r="C93" s="341"/>
      <c r="D93" s="341"/>
      <c r="E93" s="342"/>
      <c r="F93" s="343"/>
      <c r="G93" s="343"/>
      <c r="H93" s="343">
        <f>+G93-F93</f>
        <v>0</v>
      </c>
      <c r="I93" s="344" t="str">
        <f>IF(F93=0,"S/P",+H93/F93)</f>
        <v>S/P</v>
      </c>
    </row>
    <row r="94" spans="1:9" s="12" customFormat="1" ht="12.75" customHeight="1">
      <c r="A94" s="170"/>
      <c r="B94" s="25" t="s">
        <v>177</v>
      </c>
      <c r="C94" s="170"/>
      <c r="D94" s="170"/>
      <c r="E94" s="348"/>
      <c r="F94" s="43"/>
      <c r="G94" s="120"/>
      <c r="H94" s="120"/>
      <c r="I94" s="120"/>
    </row>
    <row r="95" spans="1:9" s="12" customFormat="1" ht="12.75">
      <c r="A95" s="341" t="s">
        <v>53</v>
      </c>
      <c r="B95" s="341"/>
      <c r="C95" s="341"/>
      <c r="D95" s="341"/>
      <c r="E95" s="342"/>
      <c r="F95" s="343"/>
      <c r="G95" s="343"/>
      <c r="H95" s="343">
        <f>+G95-F95</f>
        <v>0</v>
      </c>
      <c r="I95" s="344" t="str">
        <f>IF(F95=0,"S/P",+H95/F95)</f>
        <v>S/P</v>
      </c>
    </row>
    <row r="96" spans="1:9" s="12" customFormat="1" ht="12.75" customHeight="1">
      <c r="A96" s="170"/>
      <c r="B96" s="25" t="s">
        <v>54</v>
      </c>
      <c r="C96" s="170"/>
      <c r="D96" s="170"/>
      <c r="E96" s="348"/>
      <c r="F96" s="43"/>
      <c r="G96" s="120"/>
      <c r="H96" s="120"/>
      <c r="I96" s="120"/>
    </row>
    <row r="97" spans="1:10" s="63" customFormat="1" ht="16.5">
      <c r="A97" s="65" t="s">
        <v>55</v>
      </c>
      <c r="B97" s="66"/>
      <c r="C97" s="66"/>
      <c r="D97" s="66"/>
      <c r="E97" s="67"/>
      <c r="F97" s="68" t="e">
        <f>+F99+F101+F103</f>
        <v>#N/A</v>
      </c>
      <c r="G97" s="68">
        <f>+SUM(G98:G104)</f>
        <v>0</v>
      </c>
      <c r="H97" s="68" t="e">
        <f>+SUM(H98:H104)</f>
        <v>#N/A</v>
      </c>
      <c r="I97" s="69" t="e">
        <f>IF(F97=0,"S/P",+H97/F97)</f>
        <v>#N/A</v>
      </c>
      <c r="J97" s="319" t="e">
        <f>+F97/(F97+F57+F39+F105+F143)</f>
        <v>#N/A</v>
      </c>
    </row>
    <row r="98" spans="1:10" s="63" customFormat="1" ht="9.75" customHeight="1"/>
    <row r="99" spans="1:10" s="12" customFormat="1" ht="12.75">
      <c r="A99" s="70" t="s">
        <v>56</v>
      </c>
      <c r="B99" s="70"/>
      <c r="C99" s="70"/>
      <c r="D99" s="70"/>
      <c r="E99" s="71"/>
      <c r="F99" s="72" t="e">
        <f>-'Gastos de Persoal'!N120-'Gastos de Persoal'!N131-'Gastos de Persoal'!S120</f>
        <v>#N/A</v>
      </c>
      <c r="G99" s="72"/>
      <c r="H99" s="72" t="e">
        <f>+G99-F99</f>
        <v>#N/A</v>
      </c>
      <c r="I99" s="73" t="e">
        <f>IF(F99=0,"S/P",+H99/F99)</f>
        <v>#N/A</v>
      </c>
      <c r="J99" s="170"/>
    </row>
    <row r="100" spans="1:10" ht="12.75" customHeight="1">
      <c r="A100" s="74"/>
      <c r="B100" s="75" t="s">
        <v>178</v>
      </c>
      <c r="C100" s="74"/>
      <c r="D100" s="74"/>
      <c r="E100" s="76"/>
      <c r="F100" s="77"/>
      <c r="G100" s="78"/>
      <c r="H100" s="78"/>
      <c r="I100" s="78"/>
    </row>
    <row r="101" spans="1:10" s="12" customFormat="1" ht="12.75">
      <c r="A101" s="70" t="s">
        <v>58</v>
      </c>
      <c r="B101" s="70"/>
      <c r="C101" s="70"/>
      <c r="D101" s="70"/>
      <c r="E101" s="71"/>
      <c r="F101" s="72" t="e">
        <f>-'Gastos de Persoal'!P120-'Gastos de Persoal'!P131</f>
        <v>#N/A</v>
      </c>
      <c r="G101" s="72"/>
      <c r="H101" s="72" t="e">
        <f>+G101-F101</f>
        <v>#N/A</v>
      </c>
      <c r="I101" s="73" t="e">
        <f>IF(F101=0,"S/P",+H101/F101)</f>
        <v>#N/A</v>
      </c>
      <c r="J101" s="170"/>
    </row>
    <row r="102" spans="1:10" ht="12.75" customHeight="1">
      <c r="A102" s="74"/>
      <c r="B102" s="75" t="s">
        <v>179</v>
      </c>
      <c r="C102" s="74"/>
      <c r="D102" s="74"/>
      <c r="E102" s="76"/>
      <c r="F102" s="77"/>
      <c r="G102" s="78"/>
      <c r="H102" s="78"/>
      <c r="I102" s="78"/>
    </row>
    <row r="103" spans="1:10" s="12" customFormat="1" ht="12.75">
      <c r="A103" s="70" t="s">
        <v>180</v>
      </c>
      <c r="B103" s="70"/>
      <c r="C103" s="70"/>
      <c r="D103" s="70"/>
      <c r="E103" s="71"/>
      <c r="F103" s="72">
        <f>-'Anexo Gastos '!E189</f>
        <v>0</v>
      </c>
      <c r="G103" s="72"/>
      <c r="H103" s="72">
        <f>+G103-F103</f>
        <v>0</v>
      </c>
      <c r="I103" s="73" t="str">
        <f>IF(F103=0,"S/P",+H103/F103)</f>
        <v>S/P</v>
      </c>
      <c r="J103" s="170"/>
    </row>
    <row r="104" spans="1:10" ht="12.75" customHeight="1">
      <c r="A104" s="74"/>
      <c r="B104" s="75" t="s">
        <v>61</v>
      </c>
      <c r="C104" s="74"/>
      <c r="D104" s="74"/>
      <c r="E104" s="76"/>
      <c r="F104" s="77"/>
      <c r="G104" s="78"/>
      <c r="H104" s="78"/>
      <c r="I104" s="78"/>
    </row>
    <row r="105" spans="1:10" s="63" customFormat="1" ht="16.5">
      <c r="A105" s="65" t="s">
        <v>181</v>
      </c>
      <c r="B105" s="66"/>
      <c r="C105" s="66"/>
      <c r="D105" s="66"/>
      <c r="E105" s="67"/>
      <c r="F105" s="68">
        <f>+F107+F109+F111+F113+F115+F117+F119+F121+F127+F137+F139+F141</f>
        <v>0</v>
      </c>
      <c r="G105" s="68">
        <f>+G109+G111+G113+G115+G117+G119+G121+G127+G137+G139+G141</f>
        <v>0</v>
      </c>
      <c r="H105" s="68">
        <f>+H109+H111+H113+H115+H117+H119+H121+H127+H137+H139+H141</f>
        <v>0</v>
      </c>
      <c r="I105" s="69" t="str">
        <f>IF(F105=0,"S/P",+H105/F105)</f>
        <v>S/P</v>
      </c>
    </row>
    <row r="106" spans="1:10" s="63" customFormat="1" ht="9.75" customHeight="1"/>
    <row r="107" spans="1:10" s="12" customFormat="1" ht="12.75">
      <c r="A107" s="70" t="s">
        <v>63</v>
      </c>
      <c r="B107" s="70"/>
      <c r="C107" s="70"/>
      <c r="D107" s="70"/>
      <c r="E107" s="71"/>
      <c r="F107" s="72">
        <f>-'Anexo Gastos '!E61</f>
        <v>0</v>
      </c>
      <c r="G107" s="72"/>
      <c r="H107" s="72">
        <f>+G107-F107</f>
        <v>0</v>
      </c>
      <c r="I107" s="73" t="str">
        <f>IF(F107=0,"S/P",+H107/F107)</f>
        <v>S/P</v>
      </c>
      <c r="J107" s="170"/>
    </row>
    <row r="108" spans="1:10" s="15" customFormat="1" ht="12.75" customHeight="1">
      <c r="A108" s="79"/>
      <c r="B108" s="75" t="s">
        <v>182</v>
      </c>
      <c r="C108" s="79"/>
      <c r="D108" s="79"/>
      <c r="E108" s="80"/>
      <c r="F108" s="81"/>
      <c r="G108" s="82"/>
      <c r="H108" s="82"/>
      <c r="I108" s="83"/>
    </row>
    <row r="109" spans="1:10" s="12" customFormat="1" ht="12.75">
      <c r="A109" s="70" t="s">
        <v>65</v>
      </c>
      <c r="B109" s="70"/>
      <c r="C109" s="70"/>
      <c r="D109" s="70"/>
      <c r="E109" s="71"/>
      <c r="F109" s="72">
        <f>-'Anexo Gastos '!E73</f>
        <v>0</v>
      </c>
      <c r="G109" s="72"/>
      <c r="H109" s="72">
        <f>+G109-F109</f>
        <v>0</v>
      </c>
      <c r="I109" s="73" t="str">
        <f>IF(F109=0,"S/P",+H109/F109)</f>
        <v>S/P</v>
      </c>
      <c r="J109" s="170"/>
    </row>
    <row r="110" spans="1:10" s="15" customFormat="1" ht="12.75" customHeight="1">
      <c r="A110" s="79"/>
      <c r="B110" s="75" t="s">
        <v>66</v>
      </c>
      <c r="C110" s="79"/>
      <c r="D110" s="79"/>
      <c r="E110" s="80"/>
      <c r="F110" s="81"/>
      <c r="G110" s="82"/>
      <c r="H110" s="82"/>
      <c r="I110" s="83"/>
    </row>
    <row r="111" spans="1:10" s="12" customFormat="1" ht="12.75">
      <c r="A111" s="70" t="s">
        <v>67</v>
      </c>
      <c r="B111" s="70"/>
      <c r="C111" s="70"/>
      <c r="D111" s="70"/>
      <c r="E111" s="71"/>
      <c r="F111" s="72">
        <f>-'Anexo Gastos '!E85</f>
        <v>0</v>
      </c>
      <c r="G111" s="72"/>
      <c r="H111" s="72">
        <f>+G111-F111</f>
        <v>0</v>
      </c>
      <c r="I111" s="73" t="str">
        <f>IF(F111=0,"S/P",+H111/F111)</f>
        <v>S/P</v>
      </c>
      <c r="J111" s="170"/>
    </row>
    <row r="112" spans="1:10" s="15" customFormat="1" ht="12.75" customHeight="1">
      <c r="A112" s="79"/>
      <c r="B112" s="75" t="s">
        <v>68</v>
      </c>
      <c r="C112" s="79"/>
      <c r="D112" s="79"/>
      <c r="E112" s="80"/>
      <c r="F112" s="81"/>
      <c r="G112" s="82"/>
      <c r="H112" s="82"/>
      <c r="I112" s="83"/>
    </row>
    <row r="113" spans="1:9" s="12" customFormat="1" ht="12.75" hidden="1">
      <c r="A113" s="70" t="s">
        <v>69</v>
      </c>
      <c r="B113" s="70"/>
      <c r="C113" s="70"/>
      <c r="D113" s="70"/>
      <c r="E113" s="71"/>
      <c r="F113" s="72">
        <f>-'Anexo Gastos '!E97</f>
        <v>0</v>
      </c>
      <c r="G113" s="72"/>
      <c r="H113" s="72">
        <f>+G113-F113</f>
        <v>0</v>
      </c>
      <c r="I113" s="73" t="str">
        <f>IF(F113=0,"S/P",+H113/F113)</f>
        <v>S/P</v>
      </c>
    </row>
    <row r="114" spans="1:9" s="15" customFormat="1" ht="12.75" hidden="1" customHeight="1">
      <c r="A114" s="79"/>
      <c r="B114" s="75" t="s">
        <v>183</v>
      </c>
      <c r="C114" s="79"/>
      <c r="D114" s="79"/>
      <c r="E114" s="80"/>
      <c r="F114" s="81"/>
      <c r="G114" s="82"/>
      <c r="H114" s="82"/>
      <c r="I114" s="82"/>
    </row>
    <row r="115" spans="1:9" s="12" customFormat="1" ht="12.75">
      <c r="A115" s="70" t="s">
        <v>71</v>
      </c>
      <c r="B115" s="70"/>
      <c r="C115" s="70"/>
      <c r="D115" s="70"/>
      <c r="E115" s="71"/>
      <c r="F115" s="72">
        <f>-'Anexo Gastos '!E111</f>
        <v>0</v>
      </c>
      <c r="G115" s="72"/>
      <c r="H115" s="72">
        <f>+G115-F115</f>
        <v>0</v>
      </c>
      <c r="I115" s="73" t="str">
        <f>IF(F115=0,"S/P",+H115/F115)</f>
        <v>S/P</v>
      </c>
    </row>
    <row r="116" spans="1:9" s="15" customFormat="1" ht="12.75" customHeight="1">
      <c r="A116" s="79"/>
      <c r="B116" s="75" t="s">
        <v>184</v>
      </c>
      <c r="C116" s="79"/>
      <c r="D116" s="79"/>
      <c r="E116" s="80"/>
      <c r="F116" s="81"/>
      <c r="G116" s="82"/>
      <c r="H116" s="82"/>
      <c r="I116" s="82"/>
    </row>
    <row r="117" spans="1:9" s="12" customFormat="1" ht="12.75">
      <c r="A117" s="70" t="s">
        <v>73</v>
      </c>
      <c r="B117" s="70"/>
      <c r="C117" s="70"/>
      <c r="D117" s="70"/>
      <c r="E117" s="71"/>
      <c r="F117" s="72">
        <f>-'Anexo Gastos '!E123</f>
        <v>0</v>
      </c>
      <c r="G117" s="72"/>
      <c r="H117" s="72">
        <f>+G117-F117</f>
        <v>0</v>
      </c>
      <c r="I117" s="73" t="str">
        <f>IF(F117=0,"S/P",+H117/F117)</f>
        <v>S/P</v>
      </c>
    </row>
    <row r="118" spans="1:9" s="15" customFormat="1" ht="12.75" customHeight="1">
      <c r="A118" s="79"/>
      <c r="B118" s="75" t="s">
        <v>74</v>
      </c>
      <c r="C118" s="79"/>
      <c r="D118" s="79"/>
      <c r="E118" s="80"/>
      <c r="F118" s="81"/>
      <c r="G118" s="82"/>
      <c r="H118" s="82"/>
      <c r="I118" s="82"/>
    </row>
    <row r="119" spans="1:9" s="12" customFormat="1" ht="12.75" hidden="1">
      <c r="A119" s="70" t="s">
        <v>75</v>
      </c>
      <c r="B119" s="70"/>
      <c r="C119" s="70"/>
      <c r="D119" s="70"/>
      <c r="E119" s="71"/>
      <c r="F119" s="72">
        <f>-'Anexo Gastos '!E134</f>
        <v>0</v>
      </c>
      <c r="G119" s="72"/>
      <c r="H119" s="72">
        <f>+G119-F119</f>
        <v>0</v>
      </c>
      <c r="I119" s="73" t="str">
        <f>IF(F119=0,"S/P",+H119/F119)</f>
        <v>S/P</v>
      </c>
    </row>
    <row r="120" spans="1:9" s="15" customFormat="1" ht="12.75" hidden="1" customHeight="1">
      <c r="A120" s="79"/>
      <c r="B120" s="75" t="s">
        <v>76</v>
      </c>
      <c r="C120" s="79"/>
      <c r="D120" s="79"/>
      <c r="E120" s="80"/>
      <c r="F120" s="81"/>
      <c r="G120" s="82"/>
      <c r="H120" s="82"/>
      <c r="I120" s="82"/>
    </row>
    <row r="121" spans="1:9" s="12" customFormat="1" ht="12.75">
      <c r="A121" s="70" t="s">
        <v>77</v>
      </c>
      <c r="B121" s="70"/>
      <c r="C121" s="70"/>
      <c r="D121" s="70"/>
      <c r="E121" s="71"/>
      <c r="F121" s="72">
        <f>+SUM(F122:F126)</f>
        <v>0</v>
      </c>
      <c r="G121" s="72">
        <f>+SUM(G122:G126)</f>
        <v>0</v>
      </c>
      <c r="H121" s="72">
        <f>+SUM(H122:H126)</f>
        <v>0</v>
      </c>
      <c r="I121" s="73" t="str">
        <f>IF(F121=0,"S/P",+H121/F121)</f>
        <v>S/P</v>
      </c>
    </row>
    <row r="122" spans="1:9" s="15" customFormat="1" ht="12.75" customHeight="1">
      <c r="A122" s="79"/>
      <c r="B122" s="75" t="str">
        <f>+'Anexo Gastos '!B141</f>
        <v xml:space="preserve">Luz </v>
      </c>
      <c r="C122" s="79"/>
      <c r="D122" s="79"/>
      <c r="E122" s="150"/>
      <c r="F122" s="146">
        <f>-'Anexo Gastos '!E141</f>
        <v>0</v>
      </c>
      <c r="G122" s="146"/>
      <c r="H122" s="146">
        <f>+G122-F122</f>
        <v>0</v>
      </c>
      <c r="I122" s="147" t="str">
        <f>IF(E122=0,"S/P",+H122/E122)</f>
        <v>S/P</v>
      </c>
    </row>
    <row r="123" spans="1:9" s="15" customFormat="1" ht="12.75" customHeight="1">
      <c r="A123" s="79"/>
      <c r="B123" s="75" t="str">
        <f>+'Anexo Gastos '!B142</f>
        <v>Agua</v>
      </c>
      <c r="C123" s="79"/>
      <c r="D123" s="79"/>
      <c r="E123" s="150"/>
      <c r="F123" s="146">
        <f>-'Anexo Gastos '!E142</f>
        <v>0</v>
      </c>
      <c r="G123" s="146"/>
      <c r="H123" s="146">
        <f t="shared" ref="H123:H135" si="11">+G123-F123</f>
        <v>0</v>
      </c>
      <c r="I123" s="147" t="str">
        <f t="shared" ref="I123:I135" si="12">IF(E123=0,"S/P",+H123/E123)</f>
        <v>S/P</v>
      </c>
    </row>
    <row r="124" spans="1:9" s="15" customFormat="1" ht="12.75" customHeight="1">
      <c r="A124" s="79"/>
      <c r="B124" s="75" t="str">
        <f>+'Anexo Gastos '!B143</f>
        <v>Carburantes Instalaciones</v>
      </c>
      <c r="C124" s="79"/>
      <c r="D124" s="79"/>
      <c r="E124" s="150"/>
      <c r="F124" s="146">
        <f>-'Anexo Gastos '!E143</f>
        <v>0</v>
      </c>
      <c r="G124" s="146"/>
      <c r="H124" s="146">
        <f t="shared" si="11"/>
        <v>0</v>
      </c>
      <c r="I124" s="147" t="str">
        <f t="shared" si="12"/>
        <v>S/P</v>
      </c>
    </row>
    <row r="125" spans="1:9" s="15" customFormat="1" ht="12.75" customHeight="1">
      <c r="A125" s="79"/>
      <c r="B125" s="75" t="str">
        <f>+'Anexo Gastos '!B144</f>
        <v>Carburantes Vehículos</v>
      </c>
      <c r="C125" s="79"/>
      <c r="D125" s="79"/>
      <c r="E125" s="150"/>
      <c r="F125" s="146">
        <f>-'Anexo Gastos '!E144</f>
        <v>0</v>
      </c>
      <c r="G125" s="146"/>
      <c r="H125" s="146">
        <f t="shared" si="11"/>
        <v>0</v>
      </c>
      <c r="I125" s="147" t="str">
        <f t="shared" si="12"/>
        <v>S/P</v>
      </c>
    </row>
    <row r="126" spans="1:9" s="15" customFormat="1" ht="12.75" hidden="1" customHeight="1">
      <c r="A126" s="79"/>
      <c r="B126" s="75" t="str">
        <f>+'Anexo Gastos '!B145</f>
        <v>Otros Suministros</v>
      </c>
      <c r="C126" s="79"/>
      <c r="D126" s="79"/>
      <c r="E126" s="150"/>
      <c r="F126" s="146">
        <f>-'Anexo Gastos '!E145</f>
        <v>0</v>
      </c>
      <c r="G126" s="146"/>
      <c r="H126" s="146">
        <f t="shared" si="11"/>
        <v>0</v>
      </c>
      <c r="I126" s="147" t="str">
        <f t="shared" si="12"/>
        <v>S/P</v>
      </c>
    </row>
    <row r="127" spans="1:9" s="12" customFormat="1" ht="12.75">
      <c r="A127" s="70" t="s">
        <v>79</v>
      </c>
      <c r="B127" s="70"/>
      <c r="C127" s="70"/>
      <c r="D127" s="70"/>
      <c r="E127" s="71"/>
      <c r="F127" s="72">
        <f>+SUM(F128:F136)</f>
        <v>0</v>
      </c>
      <c r="G127" s="72">
        <f>+SUM(G128:G135)</f>
        <v>0</v>
      </c>
      <c r="H127" s="72">
        <f>+SUM(H128:H135)</f>
        <v>0</v>
      </c>
      <c r="I127" s="73" t="str">
        <f>IF(F127=0,"S/P",+H127/F127)</f>
        <v>S/P</v>
      </c>
    </row>
    <row r="128" spans="1:9" s="15" customFormat="1" ht="12.75" customHeight="1">
      <c r="A128" s="79"/>
      <c r="B128" s="75" t="str">
        <f>+'Anexo Gastos '!B153</f>
        <v>Correos e Mensaxería</v>
      </c>
      <c r="C128" s="79"/>
      <c r="D128" s="79"/>
      <c r="E128" s="150"/>
      <c r="F128" s="146">
        <f>-'Anexo Gastos '!E153</f>
        <v>0</v>
      </c>
      <c r="G128" s="146"/>
      <c r="H128" s="146">
        <f t="shared" si="11"/>
        <v>0</v>
      </c>
      <c r="I128" s="147" t="str">
        <f t="shared" si="12"/>
        <v>S/P</v>
      </c>
    </row>
    <row r="129" spans="1:9" s="15" customFormat="1" ht="12.75" customHeight="1">
      <c r="A129" s="79"/>
      <c r="B129" s="75" t="str">
        <f>+'Anexo Gastos '!B154</f>
        <v>Asesoría e Auditoría</v>
      </c>
      <c r="C129" s="79"/>
      <c r="D129" s="79"/>
      <c r="E129" s="150"/>
      <c r="F129" s="146">
        <f>-'Anexo Gastos '!E154</f>
        <v>0</v>
      </c>
      <c r="G129" s="146"/>
      <c r="H129" s="146">
        <f t="shared" si="11"/>
        <v>0</v>
      </c>
      <c r="I129" s="147" t="str">
        <f t="shared" si="12"/>
        <v>S/P</v>
      </c>
    </row>
    <row r="130" spans="1:9" s="15" customFormat="1" ht="12.75" hidden="1" customHeight="1">
      <c r="A130" s="79"/>
      <c r="B130" s="75" t="str">
        <f>+'Anexo Gastos '!B155</f>
        <v>Gastos de Viaje</v>
      </c>
      <c r="C130" s="79"/>
      <c r="D130" s="79"/>
      <c r="E130" s="150"/>
      <c r="F130" s="146">
        <f>-'Anexo Gastos '!E155</f>
        <v>0</v>
      </c>
      <c r="G130" s="146"/>
      <c r="H130" s="146">
        <f t="shared" si="11"/>
        <v>0</v>
      </c>
      <c r="I130" s="147" t="str">
        <f t="shared" si="12"/>
        <v>S/P</v>
      </c>
    </row>
    <row r="131" spans="1:9" s="15" customFormat="1" ht="12.75" customHeight="1">
      <c r="A131" s="79"/>
      <c r="B131" s="75" t="str">
        <f>+'Anexo Gastos '!B156</f>
        <v>Comunidad de Vecinos</v>
      </c>
      <c r="C131" s="79"/>
      <c r="D131" s="79"/>
      <c r="E131" s="150"/>
      <c r="F131" s="146">
        <f>-'Anexo Gastos '!E156</f>
        <v>0</v>
      </c>
      <c r="G131" s="146"/>
      <c r="H131" s="146">
        <f t="shared" si="11"/>
        <v>0</v>
      </c>
      <c r="I131" s="147" t="str">
        <f t="shared" si="12"/>
        <v>S/P</v>
      </c>
    </row>
    <row r="132" spans="1:9" s="15" customFormat="1" ht="12.75" customHeight="1">
      <c r="A132" s="79"/>
      <c r="B132" s="75" t="str">
        <f>+'Anexo Gastos '!B157</f>
        <v>Material de Oficina</v>
      </c>
      <c r="C132" s="79"/>
      <c r="D132" s="79"/>
      <c r="E132" s="150"/>
      <c r="F132" s="146">
        <f>-'Anexo Gastos '!E157</f>
        <v>0</v>
      </c>
      <c r="G132" s="146"/>
      <c r="H132" s="146">
        <f t="shared" si="11"/>
        <v>0</v>
      </c>
      <c r="I132" s="147" t="str">
        <f t="shared" si="12"/>
        <v>S/P</v>
      </c>
    </row>
    <row r="133" spans="1:9" s="15" customFormat="1" ht="12.75" hidden="1" customHeight="1">
      <c r="A133" s="79"/>
      <c r="B133" s="75" t="str">
        <f>+'Anexo Gastos '!B158</f>
        <v>Cuotas Asociativas</v>
      </c>
      <c r="C133" s="79"/>
      <c r="D133" s="79"/>
      <c r="E133" s="150"/>
      <c r="F133" s="146">
        <f>-'Anexo Gastos '!E158</f>
        <v>0</v>
      </c>
      <c r="G133" s="146"/>
      <c r="H133" s="146">
        <f t="shared" si="11"/>
        <v>0</v>
      </c>
      <c r="I133" s="147" t="str">
        <f t="shared" si="12"/>
        <v>S/P</v>
      </c>
    </row>
    <row r="134" spans="1:9" s="15" customFormat="1" ht="12.75" hidden="1" customHeight="1">
      <c r="A134" s="79"/>
      <c r="B134" s="75" t="str">
        <f>+'Anexo Gastos '!B159</f>
        <v>Comisión Central de Compras</v>
      </c>
      <c r="C134" s="79"/>
      <c r="D134" s="79"/>
      <c r="E134" s="150"/>
      <c r="F134" s="146">
        <f>-'Anexo Gastos '!E159</f>
        <v>0</v>
      </c>
      <c r="G134" s="146"/>
      <c r="H134" s="146">
        <f t="shared" si="11"/>
        <v>0</v>
      </c>
      <c r="I134" s="147" t="str">
        <f t="shared" si="12"/>
        <v>S/P</v>
      </c>
    </row>
    <row r="135" spans="1:9" s="15" customFormat="1" ht="12.75" customHeight="1">
      <c r="A135" s="79"/>
      <c r="B135" s="75" t="str">
        <f>+'Anexo Gastos '!B160</f>
        <v>Protección datos</v>
      </c>
      <c r="C135" s="79"/>
      <c r="D135" s="79"/>
      <c r="E135" s="150"/>
      <c r="F135" s="146">
        <f>-'Anexo Gastos '!E160</f>
        <v>0</v>
      </c>
      <c r="G135" s="146"/>
      <c r="H135" s="146">
        <f t="shared" si="11"/>
        <v>0</v>
      </c>
      <c r="I135" s="147" t="str">
        <f t="shared" si="12"/>
        <v>S/P</v>
      </c>
    </row>
    <row r="136" spans="1:9" s="15" customFormat="1" ht="12.75" customHeight="1">
      <c r="A136" s="79"/>
      <c r="B136" s="75" t="str">
        <f>+'Anexo Gastos '!B161</f>
        <v>Telefonía Fija y Móvil</v>
      </c>
      <c r="C136" s="79"/>
      <c r="D136" s="79"/>
      <c r="E136" s="150"/>
      <c r="F136" s="146">
        <f>-'Anexo Gastos '!E161</f>
        <v>0</v>
      </c>
      <c r="G136" s="146"/>
      <c r="H136" s="146"/>
      <c r="I136" s="147"/>
    </row>
    <row r="137" spans="1:9" s="12" customFormat="1" ht="12.75">
      <c r="A137" s="70" t="s">
        <v>81</v>
      </c>
      <c r="B137" s="70"/>
      <c r="C137" s="70"/>
      <c r="D137" s="70"/>
      <c r="E137" s="71"/>
      <c r="F137" s="72">
        <f>-'Anexo Gastos '!E176</f>
        <v>0</v>
      </c>
      <c r="G137" s="72"/>
      <c r="H137" s="72">
        <f>+G137-F137</f>
        <v>0</v>
      </c>
      <c r="I137" s="73" t="str">
        <f>IF(F137=0,"S/P",+H137/F137)</f>
        <v>S/P</v>
      </c>
    </row>
    <row r="138" spans="1:9" s="15" customFormat="1" ht="12.75" customHeight="1">
      <c r="A138" s="79"/>
      <c r="B138" s="75" t="s">
        <v>82</v>
      </c>
      <c r="C138" s="79"/>
      <c r="D138" s="79"/>
      <c r="E138" s="80"/>
      <c r="F138" s="81"/>
      <c r="G138" s="84"/>
      <c r="H138" s="84"/>
      <c r="I138" s="84"/>
    </row>
    <row r="139" spans="1:9" s="12" customFormat="1" ht="12.75" hidden="1">
      <c r="A139" s="70" t="s">
        <v>185</v>
      </c>
      <c r="B139" s="70"/>
      <c r="C139" s="70"/>
      <c r="D139" s="70"/>
      <c r="E139" s="71"/>
      <c r="F139" s="72">
        <v>0</v>
      </c>
      <c r="G139" s="72"/>
      <c r="H139" s="72">
        <f>+G139-F139</f>
        <v>0</v>
      </c>
      <c r="I139" s="73" t="str">
        <f>IF(F139=0,"S/P",+H139/F139)</f>
        <v>S/P</v>
      </c>
    </row>
    <row r="140" spans="1:9" s="15" customFormat="1" ht="12.75" hidden="1" customHeight="1">
      <c r="A140" s="79"/>
      <c r="B140" s="75" t="s">
        <v>84</v>
      </c>
      <c r="C140" s="79"/>
      <c r="D140" s="79"/>
      <c r="E140" s="80"/>
      <c r="F140" s="81"/>
      <c r="G140" s="84"/>
      <c r="H140" s="84"/>
      <c r="I140" s="84"/>
    </row>
    <row r="141" spans="1:9" s="12" customFormat="1" ht="12.75" hidden="1">
      <c r="A141" s="70" t="s">
        <v>186</v>
      </c>
      <c r="B141" s="70"/>
      <c r="C141" s="70"/>
      <c r="D141" s="70"/>
      <c r="E141" s="71"/>
      <c r="F141" s="72"/>
      <c r="G141" s="72"/>
      <c r="H141" s="72">
        <f>+G141-F141</f>
        <v>0</v>
      </c>
      <c r="I141" s="73" t="str">
        <f>IF(F141=0,"S/P",+H141/F141)</f>
        <v>S/P</v>
      </c>
    </row>
    <row r="142" spans="1:9" s="15" customFormat="1" ht="12.75" customHeight="1">
      <c r="A142" s="79"/>
      <c r="B142" s="75" t="s">
        <v>86</v>
      </c>
      <c r="C142" s="79"/>
      <c r="D142" s="79"/>
      <c r="E142" s="80"/>
      <c r="F142" s="81"/>
      <c r="G142" s="84"/>
      <c r="H142" s="84"/>
      <c r="I142" s="84"/>
    </row>
    <row r="143" spans="1:9" s="63" customFormat="1" ht="16.5">
      <c r="A143" s="65" t="s">
        <v>87</v>
      </c>
      <c r="B143" s="66"/>
      <c r="C143" s="66"/>
      <c r="D143" s="66"/>
      <c r="E143" s="67"/>
      <c r="F143" s="68">
        <f>+F147+F145</f>
        <v>0</v>
      </c>
      <c r="G143" s="68">
        <f>+SUM(G144:G148)</f>
        <v>0</v>
      </c>
      <c r="H143" s="68">
        <f>+SUM(H144:H148)</f>
        <v>0</v>
      </c>
      <c r="I143" s="69" t="str">
        <f>IF(F143=0,"S/P",+H143/F143)</f>
        <v>S/P</v>
      </c>
    </row>
    <row r="144" spans="1:9" s="63" customFormat="1" ht="9.75" customHeight="1"/>
    <row r="145" spans="1:9" s="12" customFormat="1" ht="12.75">
      <c r="A145" s="70" t="s">
        <v>88</v>
      </c>
      <c r="B145" s="70"/>
      <c r="C145" s="70"/>
      <c r="D145" s="70"/>
      <c r="E145" s="71"/>
      <c r="F145" s="72">
        <f>-'Amort-Sub K'!I7</f>
        <v>0</v>
      </c>
      <c r="G145" s="72"/>
      <c r="H145" s="72">
        <f>+G145-F145</f>
        <v>0</v>
      </c>
      <c r="I145" s="73" t="str">
        <f>IF(F145=0,"S/P",+H145/F145)</f>
        <v>S/P</v>
      </c>
    </row>
    <row r="146" spans="1:9" s="15" customFormat="1" ht="12.75" customHeight="1">
      <c r="A146" s="79"/>
      <c r="B146" s="75" t="s">
        <v>89</v>
      </c>
      <c r="C146" s="79"/>
      <c r="D146" s="79"/>
      <c r="E146" s="80"/>
      <c r="F146" s="81"/>
      <c r="G146" s="84"/>
      <c r="H146" s="84"/>
      <c r="I146" s="84"/>
    </row>
    <row r="147" spans="1:9" s="12" customFormat="1" ht="12.75">
      <c r="A147" s="70" t="s">
        <v>90</v>
      </c>
      <c r="B147" s="70"/>
      <c r="C147" s="70"/>
      <c r="D147" s="70"/>
      <c r="E147" s="71"/>
      <c r="F147" s="72">
        <f>-'Amort-Sub K'!I245</f>
        <v>0</v>
      </c>
      <c r="G147" s="72"/>
      <c r="H147" s="72">
        <f>+G147-F147</f>
        <v>0</v>
      </c>
      <c r="I147" s="73" t="str">
        <f>IF(F147=0,"S/P",+H147/F147)</f>
        <v>S/P</v>
      </c>
    </row>
    <row r="148" spans="1:9" s="15" customFormat="1" ht="12.75" customHeight="1">
      <c r="A148" s="79"/>
      <c r="B148" s="75" t="s">
        <v>89</v>
      </c>
      <c r="C148" s="79"/>
      <c r="D148" s="79"/>
      <c r="E148" s="80"/>
      <c r="F148" s="81"/>
      <c r="G148" s="84"/>
      <c r="H148" s="84"/>
      <c r="I148" s="84"/>
    </row>
    <row r="149" spans="1:9" s="63" customFormat="1" ht="16.5">
      <c r="A149" s="58" t="s">
        <v>187</v>
      </c>
      <c r="B149" s="59"/>
      <c r="C149" s="59"/>
      <c r="D149" s="59"/>
      <c r="E149" s="60"/>
      <c r="F149" s="61">
        <f>+F153+F151</f>
        <v>0</v>
      </c>
      <c r="G149" s="61">
        <f>+SUM(G150:G154)</f>
        <v>0</v>
      </c>
      <c r="H149" s="61">
        <f>+SUM(H150:H154)</f>
        <v>0</v>
      </c>
      <c r="I149" s="62" t="str">
        <f>IF(F149=0,"S/P",+H149/F149)</f>
        <v>S/P</v>
      </c>
    </row>
    <row r="150" spans="1:9" s="63" customFormat="1" ht="9.75" customHeight="1"/>
    <row r="151" spans="1:9" s="12" customFormat="1" ht="12.75">
      <c r="A151" s="341" t="s">
        <v>188</v>
      </c>
      <c r="B151" s="341"/>
      <c r="C151" s="341"/>
      <c r="D151" s="341"/>
      <c r="E151" s="342"/>
      <c r="F151" s="343">
        <f>'Amort-Sub K'!Q7+'Amort-Sub K'!Q245</f>
        <v>0</v>
      </c>
      <c r="G151" s="343"/>
      <c r="H151" s="343">
        <f>+G151-F151</f>
        <v>0</v>
      </c>
      <c r="I151" s="344" t="str">
        <f>IF(F151=0,"S/P",+H151/F151)</f>
        <v>S/P</v>
      </c>
    </row>
    <row r="152" spans="1:9" s="15" customFormat="1" ht="12.75" customHeight="1">
      <c r="B152" s="25" t="s">
        <v>159</v>
      </c>
      <c r="E152" s="46"/>
      <c r="F152" s="81"/>
      <c r="G152" s="84"/>
      <c r="H152" s="84"/>
      <c r="I152" s="84"/>
    </row>
    <row r="153" spans="1:9" s="12" customFormat="1" ht="12.75" hidden="1">
      <c r="A153" s="341" t="s">
        <v>189</v>
      </c>
      <c r="B153" s="341"/>
      <c r="C153" s="341"/>
      <c r="D153" s="341"/>
      <c r="E153" s="342"/>
      <c r="F153" s="343"/>
      <c r="G153" s="343"/>
      <c r="H153" s="343">
        <f>+G153-F153</f>
        <v>0</v>
      </c>
      <c r="I153" s="344" t="str">
        <f>IF(F153=0,"S/P",+H153/F153)</f>
        <v>S/P</v>
      </c>
    </row>
    <row r="154" spans="1:9" s="15" customFormat="1" ht="12.75" hidden="1" customHeight="1">
      <c r="B154" s="25" t="s">
        <v>159</v>
      </c>
      <c r="E154" s="46"/>
      <c r="F154" s="84"/>
      <c r="G154" s="84"/>
      <c r="H154" s="84"/>
      <c r="I154" s="84"/>
    </row>
    <row r="155" spans="1:9" s="63" customFormat="1" ht="16.5" hidden="1">
      <c r="A155" s="58" t="s">
        <v>95</v>
      </c>
      <c r="B155" s="59"/>
      <c r="C155" s="59"/>
      <c r="D155" s="59"/>
      <c r="E155" s="60"/>
      <c r="F155" s="61">
        <f>+F157</f>
        <v>0</v>
      </c>
      <c r="G155" s="61">
        <f>+G157</f>
        <v>0</v>
      </c>
      <c r="H155" s="61">
        <f>+H157</f>
        <v>0</v>
      </c>
      <c r="I155" s="62" t="str">
        <f>IF(F155=0,"S/P",+H155/F155)</f>
        <v>S/P</v>
      </c>
    </row>
    <row r="156" spans="1:9" s="63" customFormat="1" ht="9.75" hidden="1" customHeight="1"/>
    <row r="157" spans="1:9" s="12" customFormat="1" ht="12.75" hidden="1">
      <c r="A157" s="341" t="s">
        <v>96</v>
      </c>
      <c r="B157" s="341"/>
      <c r="C157" s="341"/>
      <c r="D157" s="341"/>
      <c r="E157" s="342"/>
      <c r="F157" s="343"/>
      <c r="G157" s="343"/>
      <c r="H157" s="343">
        <f>+G157-F157</f>
        <v>0</v>
      </c>
      <c r="I157" s="344" t="str">
        <f>IF(F157=0,"S/P",+H157/F157)</f>
        <v>S/P</v>
      </c>
    </row>
    <row r="158" spans="1:9" s="15" customFormat="1" ht="12.75" hidden="1" customHeight="1">
      <c r="B158" s="25" t="s">
        <v>97</v>
      </c>
      <c r="E158" s="46"/>
      <c r="F158" s="84"/>
      <c r="G158" s="84"/>
      <c r="H158" s="84"/>
      <c r="I158" s="84"/>
    </row>
    <row r="159" spans="1:9" s="63" customFormat="1" ht="16.5" hidden="1">
      <c r="A159" s="108" t="s">
        <v>190</v>
      </c>
      <c r="B159" s="109"/>
      <c r="C159" s="109"/>
      <c r="D159" s="109"/>
      <c r="E159" s="110"/>
      <c r="F159" s="111">
        <f>+F163+F161</f>
        <v>0</v>
      </c>
      <c r="G159" s="111">
        <f>+G161+G163</f>
        <v>0</v>
      </c>
      <c r="H159" s="111">
        <f>+H161+H163</f>
        <v>0</v>
      </c>
      <c r="I159" s="143" t="str">
        <f>IF(F159=0,"S/P",+H159/F159)</f>
        <v>S/P</v>
      </c>
    </row>
    <row r="160" spans="1:9" s="63" customFormat="1" ht="9.75" hidden="1" customHeight="1">
      <c r="A160" s="112"/>
      <c r="B160" s="112"/>
      <c r="C160" s="112"/>
      <c r="D160" s="112"/>
      <c r="E160" s="112"/>
      <c r="F160" s="112"/>
      <c r="G160" s="112"/>
      <c r="H160" s="112"/>
      <c r="I160" s="112"/>
    </row>
    <row r="161" spans="1:9" s="12" customFormat="1" ht="12.75" hidden="1">
      <c r="A161" s="113" t="s">
        <v>191</v>
      </c>
      <c r="B161" s="113"/>
      <c r="C161" s="113"/>
      <c r="D161" s="113"/>
      <c r="E161" s="114"/>
      <c r="F161" s="115"/>
      <c r="G161" s="115"/>
      <c r="H161" s="115">
        <f>+G161-F161</f>
        <v>0</v>
      </c>
      <c r="I161" s="144" t="str">
        <f>IF(F161=0,"S/P",+H161/F161)</f>
        <v>S/P</v>
      </c>
    </row>
    <row r="162" spans="1:9" s="15" customFormat="1" ht="12.75" hidden="1" customHeight="1">
      <c r="A162" s="121"/>
      <c r="B162" s="117" t="s">
        <v>192</v>
      </c>
      <c r="C162" s="121"/>
      <c r="D162" s="121"/>
      <c r="E162" s="122"/>
      <c r="F162" s="123"/>
      <c r="G162" s="123"/>
      <c r="H162" s="123"/>
      <c r="I162" s="123"/>
    </row>
    <row r="163" spans="1:9" s="12" customFormat="1" ht="12.75" hidden="1">
      <c r="A163" s="113" t="s">
        <v>101</v>
      </c>
      <c r="B163" s="113"/>
      <c r="C163" s="113"/>
      <c r="D163" s="113"/>
      <c r="E163" s="114"/>
      <c r="F163" s="115"/>
      <c r="G163" s="115"/>
      <c r="H163" s="115">
        <f>+G163-F163</f>
        <v>0</v>
      </c>
      <c r="I163" s="144" t="str">
        <f>IF(F163=0,"S/P",+H163/F163)</f>
        <v>S/P</v>
      </c>
    </row>
    <row r="164" spans="1:9" s="15" customFormat="1" ht="12.75" hidden="1" customHeight="1">
      <c r="A164" s="121"/>
      <c r="B164" s="117" t="s">
        <v>162</v>
      </c>
      <c r="C164" s="121"/>
      <c r="D164" s="121"/>
      <c r="E164" s="122"/>
      <c r="F164" s="123"/>
      <c r="G164" s="84"/>
      <c r="H164" s="84"/>
      <c r="I164" s="84"/>
    </row>
    <row r="165" spans="1:9" s="63" customFormat="1" ht="16.5">
      <c r="A165" s="124" t="s">
        <v>163</v>
      </c>
      <c r="B165" s="125"/>
      <c r="C165" s="125"/>
      <c r="D165" s="125"/>
      <c r="E165" s="126"/>
      <c r="F165" s="127" t="e">
        <f>+F2+F97+F105+F143+F25+F39+F49+F53+F57+F85+F149+F155+F159</f>
        <v>#N/A</v>
      </c>
      <c r="G165" s="127">
        <f>+G2+G25+G39+G49+G53+G57+G85+G97+G105+G143+G149+G155+G159</f>
        <v>0</v>
      </c>
      <c r="H165" s="127" t="e">
        <f>+H2+H25+H39+H49+H53+H57+H85+H97+H105+H143+H149+H155+H159</f>
        <v>#N/A</v>
      </c>
      <c r="I165" s="127" t="e">
        <f>IF(F165=0,"S/P",+H165/F165)</f>
        <v>#N/A</v>
      </c>
    </row>
    <row r="166" spans="1:9" s="63" customFormat="1" ht="10.5" hidden="1" customHeight="1"/>
    <row r="167" spans="1:9" s="63" customFormat="1" ht="16.5" hidden="1">
      <c r="A167" s="58" t="s">
        <v>104</v>
      </c>
      <c r="B167" s="59"/>
      <c r="C167" s="59"/>
      <c r="D167" s="59"/>
      <c r="E167" s="60"/>
      <c r="F167" s="61">
        <f>+SUM(F169:F175)</f>
        <v>0</v>
      </c>
      <c r="G167" s="61">
        <f>+SUM(G168:G176)</f>
        <v>0</v>
      </c>
      <c r="H167" s="61">
        <f>+SUM(H168:H176)</f>
        <v>0</v>
      </c>
      <c r="I167" s="62" t="str">
        <f>IF(F167=0,"S/P",+H167/F167)</f>
        <v>S/P</v>
      </c>
    </row>
    <row r="168" spans="1:9" s="63" customFormat="1" ht="9.75" hidden="1" customHeight="1"/>
    <row r="169" spans="1:9" s="12" customFormat="1" ht="12.75" hidden="1">
      <c r="A169" s="341" t="s">
        <v>105</v>
      </c>
      <c r="B169" s="341"/>
      <c r="C169" s="341"/>
      <c r="D169" s="341"/>
      <c r="E169" s="342"/>
      <c r="F169" s="343">
        <f>+'Anexo Ingresos'!E97</f>
        <v>0</v>
      </c>
      <c r="G169" s="343"/>
      <c r="H169" s="343">
        <f>+G169-F169</f>
        <v>0</v>
      </c>
      <c r="I169" s="344" t="str">
        <f>IF(F169=0,"S/P",+H169/F169)</f>
        <v>S/P</v>
      </c>
    </row>
    <row r="170" spans="1:9" s="15" customFormat="1" ht="12.75" hidden="1" customHeight="1">
      <c r="B170" s="25" t="s">
        <v>106</v>
      </c>
      <c r="E170" s="46"/>
      <c r="F170" s="84"/>
      <c r="G170" s="84"/>
      <c r="H170" s="84"/>
      <c r="I170" s="84"/>
    </row>
    <row r="171" spans="1:9" s="12" customFormat="1" ht="12.75" hidden="1">
      <c r="A171" s="341" t="s">
        <v>107</v>
      </c>
      <c r="B171" s="341"/>
      <c r="C171" s="341"/>
      <c r="D171" s="341"/>
      <c r="E171" s="342"/>
      <c r="F171" s="343">
        <f>+'Anexo Ingresos'!E103</f>
        <v>0</v>
      </c>
      <c r="G171" s="343"/>
      <c r="H171" s="343">
        <f>+G171-F171</f>
        <v>0</v>
      </c>
      <c r="I171" s="344" t="str">
        <f>IF(F171=0,"S/P",+H171/F171)</f>
        <v>S/P</v>
      </c>
    </row>
    <row r="172" spans="1:9" s="15" customFormat="1" ht="12.75" hidden="1" customHeight="1">
      <c r="B172" s="25" t="s">
        <v>108</v>
      </c>
      <c r="E172" s="46"/>
      <c r="F172" s="84"/>
      <c r="G172" s="84"/>
      <c r="H172" s="84"/>
      <c r="I172" s="84"/>
    </row>
    <row r="173" spans="1:9" s="12" customFormat="1" ht="12.75" hidden="1">
      <c r="A173" s="341" t="s">
        <v>109</v>
      </c>
      <c r="B173" s="341"/>
      <c r="C173" s="341"/>
      <c r="D173" s="341"/>
      <c r="E173" s="342"/>
      <c r="F173" s="343">
        <f>+'Anexo Ingresos'!E115</f>
        <v>0</v>
      </c>
      <c r="G173" s="343"/>
      <c r="H173" s="343">
        <f>+G173-F173</f>
        <v>0</v>
      </c>
      <c r="I173" s="344" t="str">
        <f>IF(F173=0,"S/P",+H173/F173)</f>
        <v>S/P</v>
      </c>
    </row>
    <row r="174" spans="1:9" s="15" customFormat="1" ht="12.75" hidden="1" customHeight="1">
      <c r="B174" s="25" t="s">
        <v>110</v>
      </c>
      <c r="E174" s="46"/>
      <c r="F174" s="84"/>
      <c r="G174" s="84"/>
      <c r="H174" s="84"/>
      <c r="I174" s="84"/>
    </row>
    <row r="175" spans="1:9" s="12" customFormat="1" ht="12.75" hidden="1">
      <c r="A175" s="341" t="s">
        <v>111</v>
      </c>
      <c r="B175" s="341"/>
      <c r="C175" s="341"/>
      <c r="D175" s="341"/>
      <c r="E175" s="342"/>
      <c r="F175" s="343">
        <f>+'Anexo Ingresos'!E121</f>
        <v>0</v>
      </c>
      <c r="G175" s="343"/>
      <c r="H175" s="343">
        <f>+G175-F175</f>
        <v>0</v>
      </c>
      <c r="I175" s="344" t="str">
        <f>IF(F175=0,"S/P",+H175/F175)</f>
        <v>S/P</v>
      </c>
    </row>
    <row r="176" spans="1:9" s="15" customFormat="1" ht="12.75" hidden="1" customHeight="1">
      <c r="B176" s="25" t="s">
        <v>112</v>
      </c>
      <c r="E176" s="46"/>
      <c r="F176" s="84"/>
      <c r="G176" s="84"/>
      <c r="H176" s="84"/>
      <c r="I176" s="84"/>
    </row>
    <row r="177" spans="1:9" s="133" customFormat="1" ht="16.5" hidden="1">
      <c r="A177" s="128" t="s">
        <v>113</v>
      </c>
      <c r="B177" s="129"/>
      <c r="C177" s="129"/>
      <c r="D177" s="129"/>
      <c r="E177" s="130"/>
      <c r="F177" s="131">
        <f>+SUM(F179:F185)</f>
        <v>0</v>
      </c>
      <c r="G177" s="131">
        <f>+SUM(G178:G186)</f>
        <v>0</v>
      </c>
      <c r="H177" s="131">
        <f>+SUM(H178:H186)</f>
        <v>0</v>
      </c>
      <c r="I177" s="132" t="str">
        <f>IF(F177=0,"S/P",+H177/F177)</f>
        <v>S/P</v>
      </c>
    </row>
    <row r="178" spans="1:9" s="133" customFormat="1" ht="9.75" hidden="1" customHeight="1"/>
    <row r="179" spans="1:9" s="138" customFormat="1" ht="12.75" hidden="1">
      <c r="A179" s="134" t="s">
        <v>193</v>
      </c>
      <c r="B179" s="134"/>
      <c r="C179" s="134"/>
      <c r="D179" s="134"/>
      <c r="E179" s="135"/>
      <c r="F179" s="136">
        <f>-'Anexo Gastos '!E279</f>
        <v>0</v>
      </c>
      <c r="G179" s="136"/>
      <c r="H179" s="136">
        <f>+G179-F179</f>
        <v>0</v>
      </c>
      <c r="I179" s="137" t="str">
        <f>IF(F179=0,"S/P",+H179/F179)</f>
        <v>S/P</v>
      </c>
    </row>
    <row r="180" spans="1:9" s="139" customFormat="1" ht="12.75" hidden="1" customHeight="1">
      <c r="B180" s="140" t="s">
        <v>115</v>
      </c>
      <c r="E180" s="141"/>
      <c r="F180" s="142"/>
      <c r="G180" s="142"/>
      <c r="H180" s="142"/>
      <c r="I180" s="142"/>
    </row>
    <row r="181" spans="1:9" s="138" customFormat="1" ht="12.75" hidden="1">
      <c r="A181" s="134" t="s">
        <v>194</v>
      </c>
      <c r="B181" s="134"/>
      <c r="C181" s="134"/>
      <c r="D181" s="134"/>
      <c r="E181" s="135"/>
      <c r="F181" s="136">
        <f>-'Anexo Gastos '!E285</f>
        <v>0</v>
      </c>
      <c r="G181" s="136"/>
      <c r="H181" s="136">
        <f>+G181-F181</f>
        <v>0</v>
      </c>
      <c r="I181" s="137" t="str">
        <f>IF(F181=0,"S/P",+H181/F181)</f>
        <v>S/P</v>
      </c>
    </row>
    <row r="182" spans="1:9" s="139" customFormat="1" ht="12.75" hidden="1" customHeight="1">
      <c r="B182" s="140" t="s">
        <v>164</v>
      </c>
      <c r="E182" s="141"/>
      <c r="F182" s="142"/>
      <c r="G182" s="142"/>
      <c r="H182" s="142"/>
      <c r="I182" s="142"/>
    </row>
    <row r="183" spans="1:9" s="138" customFormat="1" ht="12.75" hidden="1">
      <c r="A183" s="134" t="s">
        <v>118</v>
      </c>
      <c r="B183" s="134"/>
      <c r="C183" s="134"/>
      <c r="D183" s="134"/>
      <c r="E183" s="135"/>
      <c r="F183" s="136">
        <f>-'Anexo Gastos '!E291</f>
        <v>0</v>
      </c>
      <c r="G183" s="136"/>
      <c r="H183" s="136">
        <f>+G183-F183</f>
        <v>0</v>
      </c>
      <c r="I183" s="137" t="str">
        <f>IF(F183=0,"S/P",+H183/F183)</f>
        <v>S/P</v>
      </c>
    </row>
    <row r="184" spans="1:9" s="139" customFormat="1" ht="12.75" hidden="1" customHeight="1">
      <c r="B184" s="140" t="s">
        <v>119</v>
      </c>
      <c r="E184" s="141"/>
      <c r="F184" s="142"/>
      <c r="G184" s="142"/>
      <c r="H184" s="142"/>
      <c r="I184" s="142"/>
    </row>
    <row r="185" spans="1:9" s="138" customFormat="1" ht="12.75" hidden="1">
      <c r="A185" s="134" t="s">
        <v>120</v>
      </c>
      <c r="B185" s="134"/>
      <c r="C185" s="134"/>
      <c r="D185" s="134"/>
      <c r="E185" s="135"/>
      <c r="F185" s="136">
        <f>-'Anexo Gastos '!E297</f>
        <v>0</v>
      </c>
      <c r="G185" s="136"/>
      <c r="H185" s="136">
        <f>+G185-F185</f>
        <v>0</v>
      </c>
      <c r="I185" s="137" t="str">
        <f>IF(F185=0,"S/P",+H185/F185)</f>
        <v>S/P</v>
      </c>
    </row>
    <row r="186" spans="1:9" s="139" customFormat="1" ht="12.75" hidden="1" customHeight="1">
      <c r="B186" s="140" t="s">
        <v>121</v>
      </c>
      <c r="E186" s="141"/>
      <c r="F186" s="142"/>
      <c r="G186" s="142"/>
      <c r="H186" s="142"/>
      <c r="I186" s="142"/>
    </row>
    <row r="187" spans="1:9" s="63" customFormat="1" ht="16.5" hidden="1">
      <c r="A187" s="108" t="s">
        <v>122</v>
      </c>
      <c r="B187" s="109"/>
      <c r="C187" s="109"/>
      <c r="D187" s="109"/>
      <c r="E187" s="110"/>
      <c r="F187" s="111">
        <f>+F191+F189</f>
        <v>0</v>
      </c>
      <c r="G187" s="111">
        <f>+SUM(G188:G192)</f>
        <v>0</v>
      </c>
      <c r="H187" s="111">
        <f>+SUM(H188:H192)</f>
        <v>0</v>
      </c>
      <c r="I187" s="143" t="str">
        <f>IF(F187=0,"S/P",+H187/F187)</f>
        <v>S/P</v>
      </c>
    </row>
    <row r="188" spans="1:9" s="63" customFormat="1" ht="9.75" hidden="1" customHeight="1"/>
    <row r="189" spans="1:9" s="12" customFormat="1" ht="12.75" hidden="1">
      <c r="A189" s="134" t="s">
        <v>123</v>
      </c>
      <c r="B189" s="134"/>
      <c r="C189" s="341"/>
      <c r="D189" s="341"/>
      <c r="E189" s="342"/>
      <c r="F189" s="343"/>
      <c r="G189" s="136"/>
      <c r="H189" s="136">
        <f>+G189-F189</f>
        <v>0</v>
      </c>
      <c r="I189" s="137" t="str">
        <f>IF(F189=0,"S/P",+H189/F189)</f>
        <v>S/P</v>
      </c>
    </row>
    <row r="190" spans="1:9" s="15" customFormat="1" ht="12.75" hidden="1" customHeight="1">
      <c r="A190" s="139"/>
      <c r="B190" s="140" t="s">
        <v>124</v>
      </c>
      <c r="E190" s="46"/>
      <c r="F190" s="84"/>
      <c r="G190" s="84"/>
      <c r="H190" s="84"/>
      <c r="I190" s="84"/>
    </row>
    <row r="191" spans="1:9" s="12" customFormat="1" ht="12.75" hidden="1">
      <c r="A191" s="341" t="s">
        <v>125</v>
      </c>
      <c r="B191" s="341"/>
      <c r="C191" s="341"/>
      <c r="D191" s="341"/>
      <c r="E191" s="342"/>
      <c r="F191" s="343"/>
      <c r="G191" s="343"/>
      <c r="H191" s="343">
        <f>+G191-F191</f>
        <v>0</v>
      </c>
      <c r="I191" s="344" t="str">
        <f>IF(F191=0,"S/P",+H191/F191)</f>
        <v>S/P</v>
      </c>
    </row>
    <row r="192" spans="1:9" s="15" customFormat="1" ht="12.75" hidden="1" customHeight="1">
      <c r="B192" s="25" t="s">
        <v>126</v>
      </c>
      <c r="E192" s="46"/>
      <c r="F192" s="84"/>
      <c r="G192" s="84"/>
      <c r="H192" s="84"/>
      <c r="I192" s="84"/>
    </row>
    <row r="193" spans="1:9" s="63" customFormat="1" ht="16.5" hidden="1">
      <c r="A193" s="124" t="s">
        <v>166</v>
      </c>
      <c r="B193" s="125"/>
      <c r="C193" s="125"/>
      <c r="D193" s="125"/>
      <c r="E193" s="126"/>
      <c r="F193" s="127">
        <f>+F167+F177+F187</f>
        <v>0</v>
      </c>
      <c r="G193" s="127">
        <f>+G167+G177+G187</f>
        <v>0</v>
      </c>
      <c r="H193" s="127">
        <f>+H167+H177+H187</f>
        <v>0</v>
      </c>
      <c r="I193" s="127" t="str">
        <f>IF(F193=0,"S/P",+H193/F193)</f>
        <v>S/P</v>
      </c>
    </row>
    <row r="194" spans="1:9" s="63" customFormat="1" ht="14.25" customHeight="1"/>
    <row r="195" spans="1:9" s="63" customFormat="1" ht="16.5">
      <c r="A195" s="124" t="s">
        <v>128</v>
      </c>
      <c r="B195" s="125"/>
      <c r="C195" s="125"/>
      <c r="D195" s="125"/>
      <c r="E195" s="126"/>
      <c r="F195" s="127" t="e">
        <f>+F165+F193</f>
        <v>#N/A</v>
      </c>
      <c r="G195" s="127">
        <f>+G165+G193</f>
        <v>0</v>
      </c>
      <c r="H195" s="127" t="e">
        <f>+H165+H193</f>
        <v>#N/A</v>
      </c>
      <c r="I195" s="127" t="e">
        <f>IF(F195=0,"S/P",+H195/F195)</f>
        <v>#N/A</v>
      </c>
    </row>
    <row r="196" spans="1:9" s="63" customFormat="1" ht="20.25" customHeight="1"/>
    <row r="197" spans="1:9" ht="18">
      <c r="A197" s="1"/>
      <c r="F197" s="43"/>
      <c r="G197" s="43"/>
      <c r="H197" s="43"/>
      <c r="I197" s="43"/>
    </row>
    <row r="198" spans="1:9">
      <c r="D198" s="349" t="s">
        <v>129</v>
      </c>
      <c r="F198" s="45" t="s">
        <v>0</v>
      </c>
      <c r="G198" s="45" t="s">
        <v>1</v>
      </c>
      <c r="H198" s="45" t="s">
        <v>2</v>
      </c>
      <c r="I198" s="45" t="s">
        <v>130</v>
      </c>
    </row>
    <row r="199" spans="1:9">
      <c r="D199" s="321" t="s">
        <v>131</v>
      </c>
      <c r="E199" s="322"/>
      <c r="F199" s="88">
        <f>+F2+F25+IF(F49&gt;0,F49,0)+F53+F85+F149+F155+IF(F159&gt;0,F159,0)+F167+IF(F187&gt;0,F187,0)</f>
        <v>0</v>
      </c>
      <c r="G199" s="88">
        <f>+G2+G25+IF(G49&gt;0,G49,0)+G53+G85+G149+G155+IF(G159&gt;0,G159,0)+G167+IF(G187&gt;0,G187,0)</f>
        <v>0</v>
      </c>
      <c r="H199" s="88">
        <f>+G199-E199</f>
        <v>0</v>
      </c>
      <c r="I199" s="151" t="str">
        <f>IF(F199=0,"S/P",+H199/F199)</f>
        <v>S/P</v>
      </c>
    </row>
    <row r="200" spans="1:9">
      <c r="D200" s="321" t="s">
        <v>132</v>
      </c>
      <c r="E200" s="322"/>
      <c r="F200" s="88" t="e">
        <f>-F39-IF(F49&lt;0,F49,0)-F57-F97-F105-F143-IF(F159&lt;0,F159,0)-F177-IF(F187&lt;0,F187,0)</f>
        <v>#N/A</v>
      </c>
      <c r="G200" s="88">
        <f>-G39-IF(G49&lt;0,G49,0)-G57-G97-G105-G143-IF(G159&lt;0,G159,0)-G177-IF(G187&lt;0,G187,0)</f>
        <v>0</v>
      </c>
      <c r="H200" s="88">
        <f t="shared" ref="H200:H201" si="13">+G200-E200</f>
        <v>0</v>
      </c>
      <c r="I200" s="151" t="e">
        <f t="shared" ref="I200:I201" si="14">IF(F200=0,"S/P",+H200/F200)</f>
        <v>#N/A</v>
      </c>
    </row>
    <row r="201" spans="1:9">
      <c r="D201" s="321" t="s">
        <v>133</v>
      </c>
      <c r="E201" s="322"/>
      <c r="F201" s="88" t="e">
        <f>F199-F200</f>
        <v>#N/A</v>
      </c>
      <c r="G201" s="88">
        <f>G199-G200</f>
        <v>0</v>
      </c>
      <c r="H201" s="88">
        <f t="shared" si="13"/>
        <v>0</v>
      </c>
      <c r="I201" s="151" t="e">
        <f t="shared" si="14"/>
        <v>#N/A</v>
      </c>
    </row>
  </sheetData>
  <mergeCells count="3">
    <mergeCell ref="D199:E199"/>
    <mergeCell ref="D200:E200"/>
    <mergeCell ref="D201:E201"/>
  </mergeCells>
  <conditionalFormatting sqref="F165:I165 F195:I195">
    <cfRule type="cellIs" dxfId="27" priority="7" stopIfTrue="1" operator="lessThan">
      <formula>0</formula>
    </cfRule>
  </conditionalFormatting>
  <conditionalFormatting sqref="A195">
    <cfRule type="expression" dxfId="26" priority="6" stopIfTrue="1">
      <formula>$F$195&lt;0</formula>
    </cfRule>
  </conditionalFormatting>
  <conditionalFormatting sqref="A165">
    <cfRule type="expression" dxfId="25" priority="5" stopIfTrue="1">
      <formula>$F$165&lt;0</formula>
    </cfRule>
  </conditionalFormatting>
  <conditionalFormatting sqref="F193:I193">
    <cfRule type="cellIs" dxfId="24" priority="4" stopIfTrue="1" operator="lessThan">
      <formula>0</formula>
    </cfRule>
  </conditionalFormatting>
  <conditionalFormatting sqref="A193">
    <cfRule type="expression" dxfId="23" priority="3" stopIfTrue="1">
      <formula>$F$165&lt;0</formula>
    </cfRule>
  </conditionalFormatting>
  <conditionalFormatting sqref="F195:I195">
    <cfRule type="cellIs" dxfId="22" priority="2" stopIfTrue="1" operator="lessThan">
      <formula>0</formula>
    </cfRule>
  </conditionalFormatting>
  <conditionalFormatting sqref="A195">
    <cfRule type="expression" dxfId="21" priority="1" stopIfTrue="1">
      <formula>$F$165&lt;0</formula>
    </cfRule>
  </conditionalFormatting>
  <pageMargins left="2.1259842519685042" right="0.31496062992125984" top="0.82677165354330717" bottom="0.55118110236220474" header="0.35433070866141736" footer="0.55118110236220474"/>
  <pageSetup paperSize="9" scale="48" orientation="portrait" r:id="rId1"/>
  <headerFooter alignWithMargins="0">
    <oddHeader>&amp;C&amp;20Presupuesto Centro 2 2.0XX</oddHeader>
    <oddFooter>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J199"/>
  <sheetViews>
    <sheetView workbookViewId="0">
      <selection activeCell="B74" sqref="B74"/>
    </sheetView>
  </sheetViews>
  <sheetFormatPr defaultColWidth="11.42578125" defaultRowHeight="15.75"/>
  <cols>
    <col min="4" max="4" width="13.7109375" customWidth="1"/>
    <col min="5" max="5" width="13.5703125" style="6" customWidth="1"/>
    <col min="6" max="6" width="19" style="5" customWidth="1"/>
    <col min="7" max="8" width="17.85546875" style="5" hidden="1" customWidth="1"/>
    <col min="9" max="9" width="9.85546875" style="5" hidden="1" customWidth="1"/>
    <col min="10" max="11" width="12.85546875" bestFit="1" customWidth="1"/>
  </cols>
  <sheetData>
    <row r="1" spans="1:9" ht="20.25" customHeight="1">
      <c r="A1" s="2"/>
      <c r="F1" s="45" t="s">
        <v>0</v>
      </c>
      <c r="G1" s="45" t="s">
        <v>1</v>
      </c>
      <c r="H1" s="45" t="s">
        <v>134</v>
      </c>
      <c r="I1" s="44" t="s">
        <v>3</v>
      </c>
    </row>
    <row r="2" spans="1:9" s="63" customFormat="1" ht="16.5">
      <c r="A2" s="58" t="s">
        <v>4</v>
      </c>
      <c r="B2" s="59"/>
      <c r="C2" s="59"/>
      <c r="D2" s="59"/>
      <c r="E2" s="60"/>
      <c r="F2" s="61">
        <f>+F6+F11+F4+F23</f>
        <v>0</v>
      </c>
      <c r="G2" s="61">
        <f>+G4+G6+G9+G11+G23</f>
        <v>0</v>
      </c>
      <c r="H2" s="61">
        <f>+G2-F2</f>
        <v>0</v>
      </c>
      <c r="I2" s="62" t="str">
        <f>IF(F2=0,"S/P",+H2/F2)</f>
        <v>S/P</v>
      </c>
    </row>
    <row r="3" spans="1:9" ht="10.5" customHeight="1">
      <c r="E3"/>
      <c r="F3" s="43"/>
      <c r="G3" s="46"/>
      <c r="H3" s="46"/>
      <c r="I3" s="47"/>
    </row>
    <row r="4" spans="1:9" s="12" customFormat="1" ht="12.75" hidden="1">
      <c r="A4" s="341" t="s">
        <v>5</v>
      </c>
      <c r="B4" s="341"/>
      <c r="C4" s="341"/>
      <c r="D4" s="341"/>
      <c r="E4" s="342"/>
      <c r="F4" s="343"/>
      <c r="G4" s="343"/>
      <c r="H4" s="343">
        <f>+G4-F4</f>
        <v>0</v>
      </c>
      <c r="I4" s="344" t="str">
        <f>IF(F4=0,"S/P",+H4/F4)</f>
        <v>S/P</v>
      </c>
    </row>
    <row r="5" spans="1:9" ht="15" hidden="1" customHeight="1">
      <c r="B5" s="25" t="s">
        <v>6</v>
      </c>
      <c r="E5" s="46"/>
      <c r="F5" s="43"/>
      <c r="G5" s="46"/>
      <c r="H5" s="46"/>
      <c r="I5" s="47"/>
    </row>
    <row r="6" spans="1:9" s="12" customFormat="1" ht="12.75">
      <c r="A6" s="341" t="s">
        <v>7</v>
      </c>
      <c r="B6" s="341"/>
      <c r="C6" s="341"/>
      <c r="D6" s="341"/>
      <c r="E6" s="342"/>
      <c r="F6" s="343">
        <f>+SUM(F7:F8)</f>
        <v>0</v>
      </c>
      <c r="G6" s="343">
        <f>+SUM(G7:G8)</f>
        <v>0</v>
      </c>
      <c r="H6" s="343">
        <f>+H7+H8</f>
        <v>0</v>
      </c>
      <c r="I6" s="344" t="str">
        <f>IF(F6=0,"S/P",+H6/F6)</f>
        <v>S/P</v>
      </c>
    </row>
    <row r="7" spans="1:9" ht="15" customHeight="1">
      <c r="B7" s="25" t="s">
        <v>168</v>
      </c>
      <c r="E7" s="40"/>
      <c r="F7" s="156">
        <f>+'Anexo Ingresos'!I43+'Anexo Ingresos'!I44</f>
        <v>0</v>
      </c>
      <c r="G7" s="40"/>
      <c r="H7" s="40">
        <f>+G7-F7</f>
        <v>0</v>
      </c>
      <c r="I7" s="148" t="str">
        <f>IF(E7=0,"S/P",+H7/E7)</f>
        <v>S/P</v>
      </c>
    </row>
    <row r="8" spans="1:9" ht="15" customHeight="1">
      <c r="B8" s="25" t="s">
        <v>136</v>
      </c>
      <c r="E8" s="40"/>
      <c r="F8" s="156">
        <f>+'Anexo Ingresos'!K43+'Anexo Ingresos'!K44</f>
        <v>0</v>
      </c>
      <c r="G8" s="40"/>
      <c r="H8" s="40">
        <f>+G8-F8</f>
        <v>0</v>
      </c>
      <c r="I8" s="148" t="str">
        <f>IF(E8=0,"S/P",+H8/E8)</f>
        <v>S/P</v>
      </c>
    </row>
    <row r="9" spans="1:9" s="12" customFormat="1" ht="12.75" hidden="1">
      <c r="A9" s="341" t="s">
        <v>9</v>
      </c>
      <c r="B9" s="341"/>
      <c r="C9" s="341"/>
      <c r="D9" s="341"/>
      <c r="E9" s="342"/>
      <c r="F9" s="343">
        <f>+'Anexo Ingresos'!G57</f>
        <v>0</v>
      </c>
      <c r="G9" s="343"/>
      <c r="H9" s="343">
        <f>+G9-F9</f>
        <v>0</v>
      </c>
      <c r="I9" s="344" t="str">
        <f>IF(F9=0,"S/P",+H9/F9)</f>
        <v>S/P</v>
      </c>
    </row>
    <row r="10" spans="1:9" ht="15" hidden="1" customHeight="1">
      <c r="B10" s="25" t="s">
        <v>10</v>
      </c>
      <c r="E10" s="46"/>
      <c r="F10" s="43"/>
      <c r="G10" s="46"/>
      <c r="H10" s="46"/>
      <c r="I10" s="47"/>
    </row>
    <row r="11" spans="1:9" s="12" customFormat="1" ht="12.75">
      <c r="A11" s="341" t="s">
        <v>11</v>
      </c>
      <c r="B11" s="341"/>
      <c r="C11" s="341"/>
      <c r="D11" s="341"/>
      <c r="E11" s="342"/>
      <c r="F11" s="343">
        <f>+SUM(F12:F22)</f>
        <v>0</v>
      </c>
      <c r="G11" s="343">
        <f>+SUM(G12:G22)</f>
        <v>0</v>
      </c>
      <c r="H11" s="343">
        <f>+SUM(H12:H22)</f>
        <v>0</v>
      </c>
      <c r="I11" s="344" t="str">
        <f>IF(F11=0,"S/P",+H11/F11)</f>
        <v>S/P</v>
      </c>
    </row>
    <row r="12" spans="1:9" s="64" customFormat="1" ht="15" hidden="1" customHeight="1">
      <c r="A12" s="15"/>
      <c r="B12" s="25">
        <f>+'Anexo Ingresos'!B64</f>
        <v>0</v>
      </c>
      <c r="C12" s="15"/>
      <c r="D12" s="15"/>
      <c r="E12" s="40"/>
      <c r="F12" s="156">
        <f>+'Anexo Ingresos'!G64</f>
        <v>0</v>
      </c>
      <c r="G12" s="156"/>
      <c r="H12" s="40">
        <f t="shared" ref="H12:H22" si="0">+G12-F12</f>
        <v>0</v>
      </c>
      <c r="I12" s="148" t="str">
        <f t="shared" ref="I12:I22" si="1">IF(E12=0,"S/P",+H12/E12)</f>
        <v>S/P</v>
      </c>
    </row>
    <row r="13" spans="1:9" s="64" customFormat="1" ht="15" hidden="1" customHeight="1">
      <c r="A13" s="15"/>
      <c r="B13" s="25">
        <f>+'Anexo Ingresos'!B65</f>
        <v>0</v>
      </c>
      <c r="C13" s="15"/>
      <c r="D13" s="15"/>
      <c r="E13" s="40"/>
      <c r="F13" s="156">
        <f>+'Anexo Ingresos'!G65</f>
        <v>0</v>
      </c>
      <c r="G13" s="156"/>
      <c r="H13" s="40">
        <f t="shared" si="0"/>
        <v>0</v>
      </c>
      <c r="I13" s="148" t="str">
        <f t="shared" si="1"/>
        <v>S/P</v>
      </c>
    </row>
    <row r="14" spans="1:9" s="64" customFormat="1" ht="15" customHeight="1">
      <c r="A14" s="15"/>
      <c r="B14" s="25">
        <f>+'Anexo Ingresos'!B66</f>
        <v>0</v>
      </c>
      <c r="C14" s="15"/>
      <c r="D14" s="15"/>
      <c r="E14" s="40"/>
      <c r="F14" s="156">
        <f>+'Anexo Ingresos'!G66</f>
        <v>0</v>
      </c>
      <c r="G14" s="156"/>
      <c r="H14" s="40">
        <f t="shared" si="0"/>
        <v>0</v>
      </c>
      <c r="I14" s="148" t="str">
        <f t="shared" si="1"/>
        <v>S/P</v>
      </c>
    </row>
    <row r="15" spans="1:9" s="64" customFormat="1" ht="15" customHeight="1">
      <c r="A15" s="15"/>
      <c r="B15" s="25">
        <f>+'Anexo Ingresos'!B67</f>
        <v>0</v>
      </c>
      <c r="C15" s="15"/>
      <c r="D15" s="15"/>
      <c r="E15" s="40"/>
      <c r="F15" s="156">
        <f>+'Anexo Ingresos'!G67</f>
        <v>0</v>
      </c>
      <c r="G15" s="156"/>
      <c r="H15" s="40">
        <f t="shared" ref="H15:H18" si="2">+G15-F15</f>
        <v>0</v>
      </c>
      <c r="I15" s="148" t="str">
        <f t="shared" ref="I15:I18" si="3">IF(E15=0,"S/P",+H15/E15)</f>
        <v>S/P</v>
      </c>
    </row>
    <row r="16" spans="1:9" s="64" customFormat="1" ht="15" customHeight="1">
      <c r="A16" s="15"/>
      <c r="B16" s="25">
        <f>+'Anexo Ingresos'!B68</f>
        <v>0</v>
      </c>
      <c r="C16" s="15"/>
      <c r="D16" s="15"/>
      <c r="E16" s="40"/>
      <c r="F16" s="156">
        <f>+'Anexo Ingresos'!G68</f>
        <v>0</v>
      </c>
      <c r="G16" s="156"/>
      <c r="H16" s="40">
        <f t="shared" si="2"/>
        <v>0</v>
      </c>
      <c r="I16" s="148" t="str">
        <f t="shared" si="3"/>
        <v>S/P</v>
      </c>
    </row>
    <row r="17" spans="1:9" s="64" customFormat="1" ht="15" hidden="1" customHeight="1">
      <c r="A17" s="15"/>
      <c r="B17" s="25" t="str">
        <f>+'Anexo Ingresos'!B69</f>
        <v>Administración 6</v>
      </c>
      <c r="C17" s="15"/>
      <c r="D17" s="15"/>
      <c r="E17" s="40"/>
      <c r="F17" s="156">
        <f>+'Anexo Ingresos'!G69</f>
        <v>0</v>
      </c>
      <c r="G17" s="156"/>
      <c r="H17" s="40">
        <f t="shared" si="2"/>
        <v>0</v>
      </c>
      <c r="I17" s="148" t="str">
        <f t="shared" si="3"/>
        <v>S/P</v>
      </c>
    </row>
    <row r="18" spans="1:9" s="64" customFormat="1" ht="15" hidden="1" customHeight="1">
      <c r="A18" s="15"/>
      <c r="B18" s="25" t="str">
        <f>+'Anexo Ingresos'!B73</f>
        <v>Donativos generales</v>
      </c>
      <c r="C18" s="15"/>
      <c r="D18" s="15"/>
      <c r="E18" s="40"/>
      <c r="F18" s="156">
        <f>+'Anexo Ingresos'!G73</f>
        <v>0</v>
      </c>
      <c r="G18" s="156"/>
      <c r="H18" s="40">
        <f t="shared" si="2"/>
        <v>0</v>
      </c>
      <c r="I18" s="148" t="str">
        <f t="shared" si="3"/>
        <v>S/P</v>
      </c>
    </row>
    <row r="19" spans="1:9" s="64" customFormat="1" ht="15" hidden="1" customHeight="1">
      <c r="A19" s="15"/>
      <c r="B19" s="25" t="str">
        <f>+'Anexo Ingresos'!B74</f>
        <v>Fundación José Otero</v>
      </c>
      <c r="C19" s="15"/>
      <c r="D19" s="15"/>
      <c r="E19" s="40"/>
      <c r="F19" s="156">
        <f>+'Anexo Ingresos'!G74</f>
        <v>0</v>
      </c>
      <c r="G19" s="156"/>
      <c r="H19" s="40">
        <f t="shared" si="0"/>
        <v>0</v>
      </c>
      <c r="I19" s="148" t="str">
        <f t="shared" si="1"/>
        <v>S/P</v>
      </c>
    </row>
    <row r="20" spans="1:9" s="64" customFormat="1" ht="15" hidden="1" customHeight="1">
      <c r="A20" s="15"/>
      <c r="B20" s="25" t="str">
        <f>+'Anexo Ingresos'!B75</f>
        <v>Fundación La Caixa</v>
      </c>
      <c r="C20" s="15"/>
      <c r="D20" s="15"/>
      <c r="E20" s="40"/>
      <c r="F20" s="156">
        <f>+'Anexo Ingresos'!G75</f>
        <v>0</v>
      </c>
      <c r="G20" s="156"/>
      <c r="H20" s="40">
        <f t="shared" si="0"/>
        <v>0</v>
      </c>
      <c r="I20" s="148" t="str">
        <f t="shared" si="1"/>
        <v>S/P</v>
      </c>
    </row>
    <row r="21" spans="1:9" s="64" customFormat="1" ht="15" hidden="1" customHeight="1">
      <c r="A21" s="15"/>
      <c r="B21" s="25" t="str">
        <f>+'Anexo Ingresos'!B76</f>
        <v>Colegio de Abogados</v>
      </c>
      <c r="C21" s="15"/>
      <c r="D21" s="15"/>
      <c r="E21" s="40"/>
      <c r="F21" s="156">
        <f>+'Anexo Ingresos'!G76</f>
        <v>0</v>
      </c>
      <c r="G21" s="156"/>
      <c r="H21" s="40">
        <f t="shared" si="0"/>
        <v>0</v>
      </c>
      <c r="I21" s="148" t="str">
        <f t="shared" si="1"/>
        <v>S/P</v>
      </c>
    </row>
    <row r="22" spans="1:9" ht="14.25" hidden="1" customHeight="1">
      <c r="B22" s="25" t="str">
        <f>+'Anexo Ingresos'!B77</f>
        <v>Fund amigo</v>
      </c>
      <c r="E22" s="149"/>
      <c r="F22" s="156">
        <f>+'Anexo Ingresos'!G77</f>
        <v>0</v>
      </c>
      <c r="G22" s="156"/>
      <c r="H22" s="40">
        <f t="shared" si="0"/>
        <v>0</v>
      </c>
      <c r="I22" s="148" t="str">
        <f t="shared" si="1"/>
        <v>S/P</v>
      </c>
    </row>
    <row r="23" spans="1:9" s="12" customFormat="1" ht="12.75">
      <c r="A23" s="341" t="s">
        <v>195</v>
      </c>
      <c r="B23" s="341"/>
      <c r="C23" s="341"/>
      <c r="D23" s="341"/>
      <c r="E23" s="342"/>
      <c r="F23" s="343"/>
      <c r="G23" s="343"/>
      <c r="H23" s="343">
        <f>+G23-F23</f>
        <v>0</v>
      </c>
      <c r="I23" s="344" t="str">
        <f>IF(F23=0,"S/P",+H23/F23)</f>
        <v>S/P</v>
      </c>
    </row>
    <row r="24" spans="1:9" s="64" customFormat="1" ht="15" customHeight="1">
      <c r="A24" s="15"/>
      <c r="B24" s="170" t="s">
        <v>14</v>
      </c>
      <c r="C24" s="15"/>
      <c r="D24" s="15"/>
      <c r="E24" s="46"/>
      <c r="F24" s="153"/>
      <c r="G24" s="46"/>
      <c r="H24" s="46"/>
      <c r="I24" s="47"/>
    </row>
    <row r="25" spans="1:9" s="63" customFormat="1" ht="16.5">
      <c r="A25" s="58" t="s">
        <v>196</v>
      </c>
      <c r="B25" s="59"/>
      <c r="C25" s="59"/>
      <c r="D25" s="59"/>
      <c r="E25" s="60"/>
      <c r="F25" s="61">
        <f>+F27+F33</f>
        <v>0</v>
      </c>
      <c r="G25" s="61">
        <f>+G27+G33</f>
        <v>0</v>
      </c>
      <c r="H25" s="61">
        <f>+G25-F25</f>
        <v>0</v>
      </c>
      <c r="I25" s="62" t="str">
        <f>IF(F25=0,"S/P",+H25/F25)</f>
        <v>S/P</v>
      </c>
    </row>
    <row r="26" spans="1:9" ht="10.5" customHeight="1">
      <c r="E26"/>
      <c r="F26" s="43"/>
      <c r="G26" s="46"/>
      <c r="H26" s="46"/>
      <c r="I26" s="47"/>
    </row>
    <row r="27" spans="1:9" s="12" customFormat="1" ht="12.75">
      <c r="A27" s="341" t="s">
        <v>16</v>
      </c>
      <c r="B27" s="341"/>
      <c r="C27" s="341"/>
      <c r="D27" s="341"/>
      <c r="E27" s="342"/>
      <c r="F27" s="343">
        <f>+SUM(F28:F32)</f>
        <v>0</v>
      </c>
      <c r="G27" s="343">
        <f t="shared" ref="G27:H27" si="4">+SUM(G28:G31)</f>
        <v>0</v>
      </c>
      <c r="H27" s="343">
        <f t="shared" si="4"/>
        <v>0</v>
      </c>
      <c r="I27" s="344" t="str">
        <f>IF(F27=0,"S/P",+H27/F27)</f>
        <v>S/P</v>
      </c>
    </row>
    <row r="28" spans="1:9" ht="15" hidden="1" customHeight="1">
      <c r="B28" s="25">
        <f>+'Anexo Ingresos'!B6</f>
        <v>0</v>
      </c>
      <c r="E28" s="40"/>
      <c r="F28" s="156">
        <f>+'Anexo Ingresos'!G6</f>
        <v>0</v>
      </c>
      <c r="G28" s="40"/>
      <c r="H28" s="40">
        <f>+G28-F28</f>
        <v>0</v>
      </c>
      <c r="I28" s="148" t="str">
        <f>IF(E28=0,"S/P",+G28/E28)</f>
        <v>S/P</v>
      </c>
    </row>
    <row r="29" spans="1:9" ht="15" hidden="1" customHeight="1">
      <c r="B29" s="25">
        <f>+'Anexo Ingresos'!B7</f>
        <v>0</v>
      </c>
      <c r="E29" s="40"/>
      <c r="F29" s="156">
        <f>+'Anexo Ingresos'!G7</f>
        <v>0</v>
      </c>
      <c r="G29" s="40"/>
      <c r="H29" s="40">
        <f>+G29-F29</f>
        <v>0</v>
      </c>
      <c r="I29" s="148" t="str">
        <f>IF(E29=0,"S/P",+G29/E29)</f>
        <v>S/P</v>
      </c>
    </row>
    <row r="30" spans="1:9" ht="15" hidden="1" customHeight="1">
      <c r="B30" s="25">
        <f>+'Anexo Ingresos'!B8</f>
        <v>0</v>
      </c>
      <c r="E30" s="40"/>
      <c r="F30" s="156">
        <f>+'Anexo Ingresos'!G8</f>
        <v>0</v>
      </c>
      <c r="G30" s="40"/>
      <c r="H30" s="40">
        <f>+G30-F30</f>
        <v>0</v>
      </c>
      <c r="I30" s="148" t="str">
        <f>IF(E30=0,"S/P",+G30/E30)</f>
        <v>S/P</v>
      </c>
    </row>
    <row r="31" spans="1:9" ht="15" hidden="1" customHeight="1">
      <c r="B31" s="25">
        <f>+'Anexo Ingresos'!B9</f>
        <v>0</v>
      </c>
      <c r="E31" s="40"/>
      <c r="F31" s="156">
        <f>+'Anexo Ingresos'!G9</f>
        <v>0</v>
      </c>
      <c r="G31" s="40"/>
      <c r="H31" s="40">
        <f>+G31-F31</f>
        <v>0</v>
      </c>
      <c r="I31" s="148" t="str">
        <f>IF(E31=0,"S/P",+G31/E31)</f>
        <v>S/P</v>
      </c>
    </row>
    <row r="32" spans="1:9" ht="15" customHeight="1">
      <c r="B32" s="25">
        <f>+'Anexo Ingresos'!B10</f>
        <v>0</v>
      </c>
      <c r="E32" s="40"/>
      <c r="F32" s="156">
        <f>+'Anexo Ingresos'!G10</f>
        <v>0</v>
      </c>
      <c r="G32" s="40"/>
      <c r="H32" s="40"/>
      <c r="I32" s="148"/>
    </row>
    <row r="33" spans="1:9" s="12" customFormat="1" ht="12.75" hidden="1">
      <c r="A33" s="341" t="s">
        <v>197</v>
      </c>
      <c r="B33" s="341"/>
      <c r="C33" s="341"/>
      <c r="D33" s="341"/>
      <c r="E33" s="342"/>
      <c r="F33" s="343">
        <f>+SUM(F34:F37)</f>
        <v>0</v>
      </c>
      <c r="G33" s="343">
        <f t="shared" ref="G33:H33" si="5">+SUM(G34:G37)</f>
        <v>0</v>
      </c>
      <c r="H33" s="343">
        <f t="shared" si="5"/>
        <v>0</v>
      </c>
      <c r="I33" s="344" t="str">
        <f>IF(F33=0,"S/P",+H33/F33)</f>
        <v>S/P</v>
      </c>
    </row>
    <row r="34" spans="1:9" ht="15" hidden="1" customHeight="1">
      <c r="B34" s="25">
        <f>+'Anexo Ingresos'!B18</f>
        <v>0</v>
      </c>
      <c r="E34" s="40"/>
      <c r="F34" s="156">
        <f>+'Anexo Ingresos'!G18</f>
        <v>0</v>
      </c>
      <c r="G34" s="40"/>
      <c r="H34" s="40">
        <f t="shared" ref="H34:H37" si="6">+G34-F34</f>
        <v>0</v>
      </c>
      <c r="I34" s="148" t="str">
        <f>IF(E34=0,"S/P",+G34/E34)</f>
        <v>S/P</v>
      </c>
    </row>
    <row r="35" spans="1:9" ht="15" hidden="1" customHeight="1">
      <c r="B35" s="25">
        <f>+'Anexo Ingresos'!B19</f>
        <v>0</v>
      </c>
      <c r="E35" s="40"/>
      <c r="F35" s="156">
        <f>+'Anexo Ingresos'!G19</f>
        <v>0</v>
      </c>
      <c r="G35" s="40"/>
      <c r="H35" s="40">
        <f t="shared" si="6"/>
        <v>0</v>
      </c>
      <c r="I35" s="148" t="str">
        <f>IF(E35=0,"S/P",+G35/E35)</f>
        <v>S/P</v>
      </c>
    </row>
    <row r="36" spans="1:9" ht="15" hidden="1" customHeight="1">
      <c r="B36" s="25">
        <f>+'Anexo Ingresos'!B20</f>
        <v>0</v>
      </c>
      <c r="E36" s="40"/>
      <c r="F36" s="156">
        <f>+'Anexo Ingresos'!G20</f>
        <v>0</v>
      </c>
      <c r="G36" s="40"/>
      <c r="H36" s="40">
        <f t="shared" si="6"/>
        <v>0</v>
      </c>
      <c r="I36" s="148" t="str">
        <f>IF(E36=0,"S/P",+G36/E36)</f>
        <v>S/P</v>
      </c>
    </row>
    <row r="37" spans="1:9" ht="15" hidden="1" customHeight="1">
      <c r="B37" s="25">
        <f>+'Anexo Ingresos'!B22</f>
        <v>0</v>
      </c>
      <c r="E37" s="40"/>
      <c r="F37" s="156">
        <f>+'Anexo Ingresos'!G22</f>
        <v>0</v>
      </c>
      <c r="G37" s="40"/>
      <c r="H37" s="40">
        <f t="shared" si="6"/>
        <v>0</v>
      </c>
      <c r="I37" s="148" t="str">
        <f>IF(E37=0,"S/P",+G37/E37)</f>
        <v>S/P</v>
      </c>
    </row>
    <row r="38" spans="1:9" s="63" customFormat="1" ht="16.5">
      <c r="A38" s="65" t="s">
        <v>20</v>
      </c>
      <c r="B38" s="66"/>
      <c r="C38" s="66"/>
      <c r="D38" s="66"/>
      <c r="E38" s="67"/>
      <c r="F38" s="68">
        <f>+SUM(F40:F47)</f>
        <v>0</v>
      </c>
      <c r="G38" s="68">
        <f>+SUM(G39:G47)</f>
        <v>0</v>
      </c>
      <c r="H38" s="68">
        <f>+SUM(H39:H47)</f>
        <v>0</v>
      </c>
      <c r="I38" s="69" t="str">
        <f>IF(F38=0,"S/P",+H38/F38)</f>
        <v>S/P</v>
      </c>
    </row>
    <row r="39" spans="1:9" s="63" customFormat="1" ht="9.75" customHeight="1"/>
    <row r="40" spans="1:9" s="12" customFormat="1" ht="12.75">
      <c r="A40" s="70" t="s">
        <v>170</v>
      </c>
      <c r="B40" s="70"/>
      <c r="C40" s="70"/>
      <c r="D40" s="70"/>
      <c r="E40" s="71"/>
      <c r="F40" s="72">
        <f>-'Anexo Gastos '!G199-'Anexo Gastos '!G205-'Anexo Gastos '!G211-'Anexo Gastos '!G217</f>
        <v>0</v>
      </c>
      <c r="G40" s="72"/>
      <c r="H40" s="72">
        <f>+G40-F40</f>
        <v>0</v>
      </c>
      <c r="I40" s="73" t="str">
        <f>IF(F40=0,"S/P",+H40/F40)</f>
        <v>S/P</v>
      </c>
    </row>
    <row r="41" spans="1:9" ht="12.75" customHeight="1">
      <c r="A41" s="74"/>
      <c r="B41" s="75" t="s">
        <v>171</v>
      </c>
      <c r="C41" s="74"/>
      <c r="D41" s="74"/>
      <c r="E41" s="76"/>
      <c r="F41" s="77"/>
      <c r="G41" s="78"/>
      <c r="H41" s="78"/>
      <c r="I41" s="78"/>
    </row>
    <row r="42" spans="1:9" s="12" customFormat="1" ht="12.75" hidden="1">
      <c r="A42" s="70" t="s">
        <v>23</v>
      </c>
      <c r="B42" s="70"/>
      <c r="C42" s="70"/>
      <c r="D42" s="70"/>
      <c r="E42" s="71"/>
      <c r="F42" s="72">
        <f>-'Anexo Gastos '!G227-'Anexo Gastos '!G233-'Anexo Gastos '!G239-'Anexo Gastos '!G245</f>
        <v>0</v>
      </c>
      <c r="G42" s="72"/>
      <c r="H42" s="72">
        <f>+G42-F42</f>
        <v>0</v>
      </c>
      <c r="I42" s="73" t="str">
        <f>IF(F42=0,"S/P",+H42/F42)</f>
        <v>S/P</v>
      </c>
    </row>
    <row r="43" spans="1:9" ht="12.75" hidden="1" customHeight="1">
      <c r="A43" s="74"/>
      <c r="B43" s="75" t="s">
        <v>173</v>
      </c>
      <c r="C43" s="74"/>
      <c r="D43" s="74"/>
      <c r="E43" s="76"/>
      <c r="F43" s="77"/>
      <c r="G43" s="78"/>
      <c r="H43" s="78"/>
      <c r="I43" s="78"/>
    </row>
    <row r="44" spans="1:9" s="12" customFormat="1" ht="12.75">
      <c r="A44" s="70" t="s">
        <v>25</v>
      </c>
      <c r="B44" s="70"/>
      <c r="C44" s="70"/>
      <c r="D44" s="70"/>
      <c r="E44" s="71"/>
      <c r="F44" s="72">
        <f>-'Anexo Gastos '!G257</f>
        <v>0</v>
      </c>
      <c r="G44" s="72"/>
      <c r="H44" s="72">
        <f>+G44-F44</f>
        <v>0</v>
      </c>
      <c r="I44" s="73" t="str">
        <f>IF(F44=0,"S/P",+H44/F44)</f>
        <v>S/P</v>
      </c>
    </row>
    <row r="45" spans="1:9" ht="12.75" customHeight="1">
      <c r="A45" s="74"/>
      <c r="B45" s="75" t="s">
        <v>26</v>
      </c>
      <c r="C45" s="74"/>
      <c r="D45" s="74"/>
      <c r="E45" s="76"/>
      <c r="F45" s="77"/>
      <c r="G45" s="78"/>
      <c r="H45" s="78"/>
      <c r="I45" s="78"/>
    </row>
    <row r="46" spans="1:9" s="12" customFormat="1" ht="12.75" hidden="1">
      <c r="A46" s="70" t="s">
        <v>27</v>
      </c>
      <c r="B46" s="70"/>
      <c r="C46" s="70"/>
      <c r="D46" s="70"/>
      <c r="E46" s="71"/>
      <c r="F46" s="72">
        <f>-'Anexo Gastos '!G269</f>
        <v>0</v>
      </c>
      <c r="G46" s="72"/>
      <c r="H46" s="72">
        <f>+G46-F46</f>
        <v>0</v>
      </c>
      <c r="I46" s="73" t="str">
        <f>IF(F46=0,"S/P",+H46/F46)</f>
        <v>S/P</v>
      </c>
    </row>
    <row r="47" spans="1:9" ht="12.75" hidden="1" customHeight="1">
      <c r="A47" s="74"/>
      <c r="B47" s="75" t="s">
        <v>28</v>
      </c>
      <c r="C47" s="74"/>
      <c r="D47" s="74"/>
      <c r="E47" s="76"/>
      <c r="F47" s="77"/>
      <c r="G47" s="78"/>
      <c r="H47" s="78"/>
      <c r="I47" s="78"/>
    </row>
    <row r="48" spans="1:9" s="63" customFormat="1" ht="16.5" hidden="1">
      <c r="A48" s="108" t="s">
        <v>29</v>
      </c>
      <c r="B48" s="109"/>
      <c r="C48" s="109"/>
      <c r="D48" s="109"/>
      <c r="E48" s="110"/>
      <c r="F48" s="111">
        <f>+F50</f>
        <v>0</v>
      </c>
      <c r="G48" s="111">
        <f>+G50</f>
        <v>0</v>
      </c>
      <c r="H48" s="111">
        <f>+G48-F48</f>
        <v>0</v>
      </c>
      <c r="I48" s="143" t="str">
        <f>IF(F48=0,"S/P",+H48/F48)</f>
        <v>S/P</v>
      </c>
    </row>
    <row r="49" spans="1:9" s="63" customFormat="1" ht="9.75" hidden="1" customHeight="1">
      <c r="A49" s="112"/>
      <c r="B49" s="112"/>
      <c r="C49" s="112"/>
      <c r="D49" s="112"/>
      <c r="E49" s="112"/>
      <c r="F49" s="112"/>
      <c r="G49" s="112"/>
      <c r="H49" s="112"/>
      <c r="I49" s="112"/>
    </row>
    <row r="50" spans="1:9" s="12" customFormat="1" ht="12.75" hidden="1">
      <c r="A50" s="113" t="s">
        <v>30</v>
      </c>
      <c r="B50" s="113"/>
      <c r="C50" s="113"/>
      <c r="D50" s="113"/>
      <c r="E50" s="114"/>
      <c r="F50" s="115"/>
      <c r="G50" s="115"/>
      <c r="H50" s="115">
        <f>+G50-F50</f>
        <v>0</v>
      </c>
      <c r="I50" s="144" t="str">
        <f>IF(F50=0,"S/P",+H50/F50)</f>
        <v>S/P</v>
      </c>
    </row>
    <row r="51" spans="1:9" ht="12.75" hidden="1" customHeight="1">
      <c r="A51" s="116"/>
      <c r="B51" s="117" t="s">
        <v>31</v>
      </c>
      <c r="C51" s="116"/>
      <c r="D51" s="116"/>
      <c r="E51" s="118"/>
      <c r="F51" s="119"/>
      <c r="G51" s="78"/>
      <c r="H51" s="78"/>
      <c r="I51" s="78"/>
    </row>
    <row r="52" spans="1:9" s="63" customFormat="1" ht="16.5" hidden="1">
      <c r="A52" s="58" t="s">
        <v>174</v>
      </c>
      <c r="B52" s="59"/>
      <c r="C52" s="59"/>
      <c r="D52" s="59"/>
      <c r="E52" s="60"/>
      <c r="F52" s="61">
        <f>+F54</f>
        <v>0</v>
      </c>
      <c r="G52" s="61">
        <f>+G54</f>
        <v>0</v>
      </c>
      <c r="H52" s="61">
        <f>+H54</f>
        <v>0</v>
      </c>
      <c r="I52" s="62" t="str">
        <f>IF(F52=0,"S/P",+H52/F52)</f>
        <v>S/P</v>
      </c>
    </row>
    <row r="53" spans="1:9" s="63" customFormat="1" ht="9.75" hidden="1" customHeight="1"/>
    <row r="54" spans="1:9" s="12" customFormat="1" ht="12.75" hidden="1">
      <c r="A54" s="341" t="s">
        <v>33</v>
      </c>
      <c r="B54" s="341"/>
      <c r="C54" s="341"/>
      <c r="D54" s="341"/>
      <c r="E54" s="342"/>
      <c r="F54" s="343"/>
      <c r="G54" s="343"/>
      <c r="H54" s="343">
        <f>+G54-F54</f>
        <v>0</v>
      </c>
      <c r="I54" s="344" t="str">
        <f>IF(F54=0,"S/P",+H54/F54)</f>
        <v>S/P</v>
      </c>
    </row>
    <row r="55" spans="1:9" ht="12.75" hidden="1" customHeight="1">
      <c r="A55" s="170"/>
      <c r="B55" s="25" t="s">
        <v>34</v>
      </c>
      <c r="C55" s="170"/>
      <c r="D55" s="170"/>
      <c r="E55" s="348"/>
      <c r="F55" s="43"/>
      <c r="G55" s="120"/>
      <c r="H55" s="120"/>
      <c r="I55" s="120"/>
    </row>
    <row r="56" spans="1:9" s="63" customFormat="1" ht="16.5">
      <c r="A56" s="65" t="s">
        <v>35</v>
      </c>
      <c r="B56" s="66"/>
      <c r="C56" s="66"/>
      <c r="D56" s="66"/>
      <c r="E56" s="67"/>
      <c r="F56" s="68">
        <f>+F58+F64+F70+F77</f>
        <v>0</v>
      </c>
      <c r="G56" s="68">
        <f>+SUM(G57:G108)</f>
        <v>0</v>
      </c>
      <c r="H56" s="68" t="e">
        <f>+SUM(H57:H108)</f>
        <v>#N/A</v>
      </c>
      <c r="I56" s="69" t="str">
        <f>IF(F56=0,"S/P",+H56/F56)</f>
        <v>S/P</v>
      </c>
    </row>
    <row r="57" spans="1:9" s="63" customFormat="1" ht="9.75" customHeight="1"/>
    <row r="58" spans="1:9" s="12" customFormat="1" ht="12.75">
      <c r="A58" s="70" t="s">
        <v>36</v>
      </c>
      <c r="B58" s="70"/>
      <c r="C58" s="70"/>
      <c r="D58" s="70"/>
      <c r="E58" s="71"/>
      <c r="F58" s="72">
        <f>+SUM(F59:F63)</f>
        <v>0</v>
      </c>
      <c r="G58" s="72">
        <f>+SUM(G59:G63)</f>
        <v>0</v>
      </c>
      <c r="H58" s="72">
        <f>+SUM(H59:H63)</f>
        <v>0</v>
      </c>
      <c r="I58" s="73" t="str">
        <f>IF(F58=0,"S/P",+H58/F58)</f>
        <v>S/P</v>
      </c>
    </row>
    <row r="59" spans="1:9" s="15" customFormat="1" ht="12.75" customHeight="1">
      <c r="A59" s="79"/>
      <c r="B59" s="75" t="str">
        <f>+'Anexo Gastos '!B6</f>
        <v>Material Actividades</v>
      </c>
      <c r="C59" s="79"/>
      <c r="D59" s="79"/>
      <c r="E59" s="150"/>
      <c r="F59" s="146">
        <f>-'Anexo Gastos '!G6</f>
        <v>0</v>
      </c>
      <c r="G59" s="146"/>
      <c r="H59" s="146">
        <f>+G59-F59</f>
        <v>0</v>
      </c>
      <c r="I59" s="147" t="str">
        <f>IF(E59=0,"S/P",+H59/E59)</f>
        <v>S/P</v>
      </c>
    </row>
    <row r="60" spans="1:9" s="15" customFormat="1" ht="12.75" customHeight="1">
      <c r="A60" s="79"/>
      <c r="B60" s="75" t="str">
        <f>+'Anexo Gastos '!B7</f>
        <v>Viveres</v>
      </c>
      <c r="C60" s="79"/>
      <c r="D60" s="79"/>
      <c r="E60" s="150"/>
      <c r="F60" s="146">
        <f>-'Anexo Gastos '!G7</f>
        <v>0</v>
      </c>
      <c r="G60" s="146"/>
      <c r="H60" s="146">
        <f t="shared" ref="H60:H81" si="7">+G60-F60</f>
        <v>0</v>
      </c>
      <c r="I60" s="147" t="str">
        <f t="shared" ref="I60:I63" si="8">IF(E60=0,"S/P",+H60/E60)</f>
        <v>S/P</v>
      </c>
    </row>
    <row r="61" spans="1:9" s="15" customFormat="1" ht="12.75" customHeight="1">
      <c r="A61" s="79"/>
      <c r="B61" s="75" t="str">
        <f>+'Anexo Gastos '!B8</f>
        <v>Ajuar, Lencería y Menaje</v>
      </c>
      <c r="C61" s="79"/>
      <c r="D61" s="79"/>
      <c r="E61" s="150"/>
      <c r="F61" s="146">
        <f>-'Anexo Gastos '!G8</f>
        <v>0</v>
      </c>
      <c r="G61" s="146"/>
      <c r="H61" s="146">
        <f t="shared" si="7"/>
        <v>0</v>
      </c>
      <c r="I61" s="147" t="str">
        <f t="shared" si="8"/>
        <v>S/P</v>
      </c>
    </row>
    <row r="62" spans="1:9" s="15" customFormat="1" ht="12.75" hidden="1" customHeight="1">
      <c r="A62" s="79"/>
      <c r="B62" s="75">
        <f>+'Anexo Gastos '!B9</f>
        <v>0</v>
      </c>
      <c r="C62" s="79"/>
      <c r="D62" s="79"/>
      <c r="E62" s="150"/>
      <c r="F62" s="146">
        <f>-'Anexo Gastos '!G9</f>
        <v>0</v>
      </c>
      <c r="G62" s="146"/>
      <c r="H62" s="146">
        <f t="shared" si="7"/>
        <v>0</v>
      </c>
      <c r="I62" s="147" t="str">
        <f t="shared" si="8"/>
        <v>S/P</v>
      </c>
    </row>
    <row r="63" spans="1:9" s="15" customFormat="1" ht="12.75" hidden="1" customHeight="1">
      <c r="A63" s="79"/>
      <c r="B63" s="75">
        <f>+'Anexo Gastos '!B10</f>
        <v>0</v>
      </c>
      <c r="C63" s="79"/>
      <c r="D63" s="79"/>
      <c r="E63" s="150"/>
      <c r="F63" s="146">
        <f>-'Anexo Gastos '!G10</f>
        <v>0</v>
      </c>
      <c r="G63" s="146"/>
      <c r="H63" s="146">
        <f t="shared" si="7"/>
        <v>0</v>
      </c>
      <c r="I63" s="147" t="str">
        <f t="shared" si="8"/>
        <v>S/P</v>
      </c>
    </row>
    <row r="64" spans="1:9" s="12" customFormat="1" ht="12.75" hidden="1">
      <c r="A64" s="70" t="s">
        <v>38</v>
      </c>
      <c r="B64" s="70"/>
      <c r="C64" s="70"/>
      <c r="D64" s="70"/>
      <c r="E64" s="71"/>
      <c r="F64" s="72">
        <f>+SUM(F65:F69)</f>
        <v>0</v>
      </c>
      <c r="G64" s="72">
        <f>+SUM(G65:G69)</f>
        <v>0</v>
      </c>
      <c r="H64" s="72">
        <f>+SUM(H65:H69)</f>
        <v>0</v>
      </c>
      <c r="I64" s="73" t="str">
        <f>IF(F64=0,"S/P",+H64/F64)</f>
        <v>S/P</v>
      </c>
    </row>
    <row r="65" spans="1:9" s="15" customFormat="1" ht="12.75" hidden="1" customHeight="1">
      <c r="A65" s="79"/>
      <c r="B65" s="75" t="str">
        <f>+'Anexo Gastos '!B19</f>
        <v>Materias primas talleres</v>
      </c>
      <c r="C65" s="79"/>
      <c r="D65" s="79"/>
      <c r="E65" s="150"/>
      <c r="F65" s="146">
        <f>-'Anexo Gastos '!G19</f>
        <v>0</v>
      </c>
      <c r="G65" s="146"/>
      <c r="H65" s="146">
        <f t="shared" si="7"/>
        <v>0</v>
      </c>
      <c r="I65" s="147" t="str">
        <f>IF(E65=0,"S/P",+H65/E65)</f>
        <v>S/P</v>
      </c>
    </row>
    <row r="66" spans="1:9" s="15" customFormat="1" ht="12.75" hidden="1" customHeight="1">
      <c r="A66" s="79"/>
      <c r="B66" s="75" t="str">
        <f>+'Anexo Gastos '!B20</f>
        <v>Producto 2</v>
      </c>
      <c r="C66" s="79"/>
      <c r="D66" s="79"/>
      <c r="E66" s="150"/>
      <c r="F66" s="146">
        <f>-'Anexo Gastos '!G20</f>
        <v>0</v>
      </c>
      <c r="G66" s="146"/>
      <c r="H66" s="146">
        <f t="shared" si="7"/>
        <v>0</v>
      </c>
      <c r="I66" s="147" t="str">
        <f t="shared" ref="I66:I69" si="9">IF(E66=0,"S/P",+H66/E66)</f>
        <v>S/P</v>
      </c>
    </row>
    <row r="67" spans="1:9" s="15" customFormat="1" ht="12.75" hidden="1" customHeight="1">
      <c r="A67" s="79"/>
      <c r="B67" s="75" t="str">
        <f>+'Anexo Gastos '!B21</f>
        <v>Producto 3</v>
      </c>
      <c r="C67" s="79"/>
      <c r="D67" s="79"/>
      <c r="E67" s="150"/>
      <c r="F67" s="146">
        <f>-'Anexo Gastos '!G21</f>
        <v>0</v>
      </c>
      <c r="G67" s="146"/>
      <c r="H67" s="146">
        <f t="shared" si="7"/>
        <v>0</v>
      </c>
      <c r="I67" s="147" t="str">
        <f t="shared" si="9"/>
        <v>S/P</v>
      </c>
    </row>
    <row r="68" spans="1:9" s="15" customFormat="1" ht="12.75" hidden="1" customHeight="1">
      <c r="A68" s="79"/>
      <c r="B68" s="75" t="str">
        <f>+'Anexo Gastos '!B22</f>
        <v>Producto 4</v>
      </c>
      <c r="C68" s="79"/>
      <c r="D68" s="79"/>
      <c r="E68" s="150"/>
      <c r="F68" s="146">
        <f>-'Anexo Gastos '!G22</f>
        <v>0</v>
      </c>
      <c r="G68" s="146"/>
      <c r="H68" s="146">
        <f t="shared" si="7"/>
        <v>0</v>
      </c>
      <c r="I68" s="147" t="str">
        <f t="shared" si="9"/>
        <v>S/P</v>
      </c>
    </row>
    <row r="69" spans="1:9" s="15" customFormat="1" ht="12.75" hidden="1" customHeight="1">
      <c r="A69" s="79"/>
      <c r="B69" s="75" t="str">
        <f>+'Anexo Gastos '!B23</f>
        <v>Producto 5</v>
      </c>
      <c r="C69" s="79"/>
      <c r="D69" s="79"/>
      <c r="E69" s="150"/>
      <c r="F69" s="146">
        <f>-'Anexo Gastos '!G23</f>
        <v>0</v>
      </c>
      <c r="G69" s="146"/>
      <c r="H69" s="146">
        <f t="shared" si="7"/>
        <v>0</v>
      </c>
      <c r="I69" s="147" t="str">
        <f t="shared" si="9"/>
        <v>S/P</v>
      </c>
    </row>
    <row r="70" spans="1:9" s="12" customFormat="1" ht="12.75">
      <c r="A70" s="70" t="s">
        <v>141</v>
      </c>
      <c r="B70" s="70"/>
      <c r="C70" s="70"/>
      <c r="D70" s="70"/>
      <c r="E70" s="71"/>
      <c r="F70" s="72">
        <f>+SUM(F71:F76)</f>
        <v>0</v>
      </c>
      <c r="G70" s="72">
        <f>+SUM(G71:G74)</f>
        <v>0</v>
      </c>
      <c r="H70" s="72">
        <f>+SUM(H71:H74)</f>
        <v>0</v>
      </c>
      <c r="I70" s="73" t="str">
        <f>IF(F70=0,"S/P",+H70/F70)</f>
        <v>S/P</v>
      </c>
    </row>
    <row r="71" spans="1:9" s="15" customFormat="1" ht="12.75" customHeight="1">
      <c r="A71" s="79"/>
      <c r="B71" s="75" t="str">
        <f>+'Anexo Gastos '!B31</f>
        <v>Material Limpeza y aseo</v>
      </c>
      <c r="C71" s="79"/>
      <c r="D71" s="79"/>
      <c r="E71" s="150"/>
      <c r="F71" s="146">
        <f>-'Anexo Gastos '!G31</f>
        <v>0</v>
      </c>
      <c r="G71" s="146"/>
      <c r="H71" s="146">
        <f t="shared" si="7"/>
        <v>0</v>
      </c>
      <c r="I71" s="147" t="str">
        <f>IF(E71=0,"S/P",+H71/E71)</f>
        <v>S/P</v>
      </c>
    </row>
    <row r="72" spans="1:9" s="15" customFormat="1" ht="12.75" hidden="1" customHeight="1">
      <c r="A72" s="79"/>
      <c r="B72" s="75" t="str">
        <f>+'Anexo Gastos '!B32</f>
        <v>Lavanderia-Compras</v>
      </c>
      <c r="C72" s="79"/>
      <c r="D72" s="79"/>
      <c r="E72" s="150"/>
      <c r="F72" s="146">
        <f>-'Anexo Gastos '!G32</f>
        <v>0</v>
      </c>
      <c r="G72" s="146"/>
      <c r="H72" s="146">
        <f t="shared" si="7"/>
        <v>0</v>
      </c>
      <c r="I72" s="147" t="str">
        <f t="shared" ref="I72:I74" si="10">IF(E72=0,"S/P",+H72/E72)</f>
        <v>S/P</v>
      </c>
    </row>
    <row r="73" spans="1:9" s="15" customFormat="1" ht="12.75" customHeight="1">
      <c r="A73" s="79"/>
      <c r="B73" s="75" t="str">
        <f>+'Anexo Gastos '!B33</f>
        <v>Material Sanitario e Farmaceutico</v>
      </c>
      <c r="C73" s="79"/>
      <c r="D73" s="79"/>
      <c r="E73" s="150"/>
      <c r="F73" s="146">
        <f>-'Anexo Gastos '!G33</f>
        <v>0</v>
      </c>
      <c r="G73" s="146"/>
      <c r="H73" s="146">
        <f t="shared" si="7"/>
        <v>0</v>
      </c>
      <c r="I73" s="147" t="str">
        <f t="shared" si="10"/>
        <v>S/P</v>
      </c>
    </row>
    <row r="74" spans="1:9" s="15" customFormat="1" ht="12.75" customHeight="1">
      <c r="A74" s="79"/>
      <c r="B74" s="75">
        <f>+'Anexo Gastos '!B34</f>
        <v>0</v>
      </c>
      <c r="C74" s="79"/>
      <c r="D74" s="79"/>
      <c r="E74" s="150"/>
      <c r="F74" s="146">
        <f>-'Anexo Gastos '!G34</f>
        <v>0</v>
      </c>
      <c r="G74" s="146"/>
      <c r="H74" s="146">
        <f t="shared" si="7"/>
        <v>0</v>
      </c>
      <c r="I74" s="147" t="str">
        <f t="shared" si="10"/>
        <v>S/P</v>
      </c>
    </row>
    <row r="75" spans="1:9" s="15" customFormat="1" ht="12.75" customHeight="1">
      <c r="A75" s="79"/>
      <c r="B75" s="75">
        <f>+'Anexo Gastos '!B35</f>
        <v>0</v>
      </c>
      <c r="C75" s="79"/>
      <c r="D75" s="79"/>
      <c r="E75" s="150"/>
      <c r="F75" s="146">
        <f>-'Anexo Gastos '!G35</f>
        <v>0</v>
      </c>
      <c r="G75" s="146"/>
      <c r="H75" s="146"/>
      <c r="I75" s="147"/>
    </row>
    <row r="76" spans="1:9" s="15" customFormat="1" ht="12.75" customHeight="1">
      <c r="A76" s="79"/>
      <c r="B76" s="75" t="str">
        <f>+'Anexo Gastos '!B36</f>
        <v>Compras Otros aprovisionamientos</v>
      </c>
      <c r="C76" s="79"/>
      <c r="D76" s="79"/>
      <c r="E76" s="150"/>
      <c r="F76" s="146">
        <f>-'Anexo Gastos '!G36</f>
        <v>0</v>
      </c>
      <c r="G76" s="146"/>
      <c r="H76" s="146"/>
      <c r="I76" s="147"/>
    </row>
    <row r="77" spans="1:9" s="12" customFormat="1" ht="12.75">
      <c r="A77" s="70" t="s">
        <v>42</v>
      </c>
      <c r="B77" s="70"/>
      <c r="C77" s="70"/>
      <c r="D77" s="70"/>
      <c r="E77" s="71"/>
      <c r="F77" s="72">
        <f>+SUM(F78:F83)</f>
        <v>0</v>
      </c>
      <c r="G77" s="72">
        <f>+SUM(G78:G81)</f>
        <v>0</v>
      </c>
      <c r="H77" s="72">
        <f>+SUM(H78:H81)</f>
        <v>0</v>
      </c>
      <c r="I77" s="73" t="str">
        <f>IF(F77=0,"S/P",+H77/F77)</f>
        <v>S/P</v>
      </c>
    </row>
    <row r="78" spans="1:9" s="15" customFormat="1" ht="12.75" customHeight="1">
      <c r="A78" s="79"/>
      <c r="B78" s="75" t="str">
        <f>+'Anexo Gastos '!B44</f>
        <v>Desratización e Higienización</v>
      </c>
      <c r="C78" s="79"/>
      <c r="D78" s="79"/>
      <c r="E78" s="150"/>
      <c r="F78" s="146">
        <f>-'Anexo Gastos '!G44</f>
        <v>0</v>
      </c>
      <c r="G78" s="146"/>
      <c r="H78" s="146">
        <f t="shared" si="7"/>
        <v>0</v>
      </c>
      <c r="I78" s="147" t="str">
        <f>IF(E78=0,"S/P",+H78/E78)</f>
        <v>S/P</v>
      </c>
    </row>
    <row r="79" spans="1:9" s="15" customFormat="1" ht="12.75" customHeight="1">
      <c r="A79" s="79"/>
      <c r="B79" s="75" t="str">
        <f>+'Anexo Gastos '!B45</f>
        <v>Gastos Actividades</v>
      </c>
      <c r="C79" s="79"/>
      <c r="D79" s="79"/>
      <c r="E79" s="150"/>
      <c r="F79" s="146">
        <f>-'Anexo Gastos '!G45</f>
        <v>0</v>
      </c>
      <c r="G79" s="146"/>
      <c r="H79" s="146">
        <f t="shared" si="7"/>
        <v>0</v>
      </c>
      <c r="I79" s="147" t="str">
        <f t="shared" ref="I79:I81" si="11">IF(E79=0,"S/P",+H79/E79)</f>
        <v>S/P</v>
      </c>
    </row>
    <row r="80" spans="1:9" s="15" customFormat="1" ht="12.75" customHeight="1">
      <c r="A80" s="79"/>
      <c r="B80" s="75" t="str">
        <f>+'Anexo Gastos '!B46</f>
        <v>Ajuste social, ocio y tiempo libre</v>
      </c>
      <c r="C80" s="79"/>
      <c r="D80" s="79"/>
      <c r="E80" s="150"/>
      <c r="F80" s="146">
        <f>-'Anexo Gastos '!G46</f>
        <v>0</v>
      </c>
      <c r="G80" s="146"/>
      <c r="H80" s="146">
        <f t="shared" si="7"/>
        <v>0</v>
      </c>
      <c r="I80" s="147" t="str">
        <f t="shared" si="11"/>
        <v>S/P</v>
      </c>
    </row>
    <row r="81" spans="1:10" s="15" customFormat="1" ht="12.75" customHeight="1">
      <c r="A81" s="79"/>
      <c r="B81" s="75" t="str">
        <f>+'Anexo Gastos '!B47</f>
        <v>Gasto Transporte</v>
      </c>
      <c r="C81" s="79"/>
      <c r="D81" s="79"/>
      <c r="E81" s="150"/>
      <c r="F81" s="146">
        <f>-'Anexo Gastos '!G47</f>
        <v>0</v>
      </c>
      <c r="G81" s="146"/>
      <c r="H81" s="146">
        <f t="shared" si="7"/>
        <v>0</v>
      </c>
      <c r="I81" s="147" t="str">
        <f t="shared" si="11"/>
        <v>S/P</v>
      </c>
    </row>
    <row r="82" spans="1:10" s="15" customFormat="1" ht="12.75" customHeight="1">
      <c r="A82" s="79"/>
      <c r="B82" s="75" t="str">
        <f>+'Anexo Gastos '!B48</f>
        <v>Servicios de Lavandería (CEE)</v>
      </c>
      <c r="C82" s="79"/>
      <c r="D82" s="79"/>
      <c r="E82" s="150"/>
      <c r="F82" s="146">
        <f>-'Anexo Gastos '!G48</f>
        <v>0</v>
      </c>
      <c r="G82" s="146"/>
      <c r="H82" s="146"/>
      <c r="I82" s="147"/>
    </row>
    <row r="83" spans="1:10" s="63" customFormat="1" ht="16.5">
      <c r="A83" s="58" t="s">
        <v>198</v>
      </c>
      <c r="B83" s="59"/>
      <c r="C83" s="59"/>
      <c r="D83" s="59"/>
      <c r="E83" s="60"/>
      <c r="F83" s="61">
        <f>+SUM(F85:F94)</f>
        <v>0</v>
      </c>
      <c r="G83" s="61">
        <f>+SUM(G84:G94)</f>
        <v>0</v>
      </c>
      <c r="H83" s="61">
        <f>+SUM(H84:H94)</f>
        <v>0</v>
      </c>
      <c r="I83" s="62" t="str">
        <f>IF(F83=0,"S/P",+H83/F83)</f>
        <v>S/P</v>
      </c>
    </row>
    <row r="84" spans="1:10" s="63" customFormat="1" ht="9.75" customHeight="1"/>
    <row r="85" spans="1:10" s="12" customFormat="1" ht="12.75">
      <c r="A85" s="341" t="s">
        <v>45</v>
      </c>
      <c r="B85" s="341"/>
      <c r="C85" s="341"/>
      <c r="D85" s="341"/>
      <c r="E85" s="342"/>
      <c r="F85" s="343">
        <f>+'Anexo Ingresos'!G87</f>
        <v>0</v>
      </c>
      <c r="G85" s="343"/>
      <c r="H85" s="343">
        <f>+G85-F85</f>
        <v>0</v>
      </c>
      <c r="I85" s="344" t="str">
        <f>IF(F85=0,"S/P",+H85/F85)</f>
        <v>S/P</v>
      </c>
      <c r="J85" s="170"/>
    </row>
    <row r="86" spans="1:10" s="12" customFormat="1" ht="12.75" customHeight="1">
      <c r="A86" s="170"/>
      <c r="B86" s="25" t="s">
        <v>46</v>
      </c>
      <c r="C86" s="170"/>
      <c r="D86" s="170"/>
      <c r="E86" s="348"/>
      <c r="F86" s="43"/>
      <c r="G86" s="120"/>
      <c r="H86" s="120"/>
      <c r="I86" s="120"/>
      <c r="J86" s="170"/>
    </row>
    <row r="87" spans="1:10" s="12" customFormat="1" ht="12.75">
      <c r="A87" s="341" t="s">
        <v>47</v>
      </c>
      <c r="B87" s="341"/>
      <c r="C87" s="341"/>
      <c r="D87" s="341"/>
      <c r="E87" s="342"/>
      <c r="F87" s="343"/>
      <c r="G87" s="343"/>
      <c r="H87" s="343">
        <f>+G87-F87</f>
        <v>0</v>
      </c>
      <c r="I87" s="344" t="str">
        <f>IF(F87=0,"S/P",+H87/F87)</f>
        <v>S/P</v>
      </c>
      <c r="J87" s="170"/>
    </row>
    <row r="88" spans="1:10" s="12" customFormat="1" ht="12.75" customHeight="1">
      <c r="A88" s="170"/>
      <c r="B88" s="25" t="s">
        <v>199</v>
      </c>
      <c r="C88" s="170"/>
      <c r="D88" s="170"/>
      <c r="E88" s="348"/>
      <c r="F88" s="43"/>
      <c r="G88" s="120"/>
      <c r="H88" s="120"/>
      <c r="I88" s="120"/>
      <c r="J88" s="170"/>
    </row>
    <row r="89" spans="1:10" s="12" customFormat="1" ht="12.75">
      <c r="A89" s="341" t="s">
        <v>200</v>
      </c>
      <c r="B89" s="341"/>
      <c r="C89" s="341"/>
      <c r="D89" s="341"/>
      <c r="E89" s="342"/>
      <c r="F89" s="343"/>
      <c r="G89" s="343"/>
      <c r="H89" s="343">
        <f>+G89-F89</f>
        <v>0</v>
      </c>
      <c r="I89" s="344" t="str">
        <f>IF(F89=0,"S/P",+H89/F89)</f>
        <v>S/P</v>
      </c>
      <c r="J89" s="170"/>
    </row>
    <row r="90" spans="1:10" s="12" customFormat="1" ht="12.75" customHeight="1">
      <c r="A90" s="170"/>
      <c r="B90" s="25" t="s">
        <v>50</v>
      </c>
      <c r="C90" s="170"/>
      <c r="D90" s="170"/>
      <c r="E90" s="348"/>
      <c r="F90" s="43"/>
      <c r="G90" s="120"/>
      <c r="H90" s="120"/>
      <c r="I90" s="120"/>
      <c r="J90" s="170"/>
    </row>
    <row r="91" spans="1:10" s="12" customFormat="1" ht="12.75">
      <c r="A91" s="341" t="s">
        <v>145</v>
      </c>
      <c r="B91" s="341"/>
      <c r="C91" s="341"/>
      <c r="D91" s="341"/>
      <c r="E91" s="342"/>
      <c r="F91" s="343"/>
      <c r="G91" s="343"/>
      <c r="H91" s="343">
        <f>+G91-F91</f>
        <v>0</v>
      </c>
      <c r="I91" s="344" t="str">
        <f>IF(F91=0,"S/P",+H91/F91)</f>
        <v>S/P</v>
      </c>
      <c r="J91" s="170"/>
    </row>
    <row r="92" spans="1:10" s="12" customFormat="1" ht="12.75" customHeight="1">
      <c r="A92" s="170"/>
      <c r="B92" s="25" t="s">
        <v>201</v>
      </c>
      <c r="C92" s="170"/>
      <c r="D92" s="170"/>
      <c r="E92" s="348"/>
      <c r="F92" s="43"/>
      <c r="G92" s="120"/>
      <c r="H92" s="120"/>
      <c r="I92" s="120"/>
      <c r="J92" s="170"/>
    </row>
    <row r="93" spans="1:10" s="12" customFormat="1" ht="12.75">
      <c r="A93" s="341" t="s">
        <v>53</v>
      </c>
      <c r="B93" s="341"/>
      <c r="C93" s="341"/>
      <c r="D93" s="341"/>
      <c r="E93" s="342"/>
      <c r="F93" s="343"/>
      <c r="G93" s="343"/>
      <c r="H93" s="343">
        <f>+G93-F93</f>
        <v>0</v>
      </c>
      <c r="I93" s="344" t="str">
        <f>IF(F93=0,"S/P",+H93/F93)</f>
        <v>S/P</v>
      </c>
      <c r="J93" s="170"/>
    </row>
    <row r="94" spans="1:10" s="12" customFormat="1" ht="12.75" customHeight="1">
      <c r="A94" s="170"/>
      <c r="B94" s="25" t="s">
        <v>54</v>
      </c>
      <c r="C94" s="170"/>
      <c r="D94" s="170"/>
      <c r="E94" s="348"/>
      <c r="F94" s="43"/>
      <c r="G94" s="120"/>
      <c r="H94" s="120"/>
      <c r="I94" s="120"/>
      <c r="J94" s="170"/>
    </row>
    <row r="95" spans="1:10" s="63" customFormat="1" ht="16.5">
      <c r="A95" s="65" t="s">
        <v>55</v>
      </c>
      <c r="B95" s="66"/>
      <c r="C95" s="66"/>
      <c r="D95" s="66"/>
      <c r="E95" s="67"/>
      <c r="F95" s="68" t="e">
        <f>+F97+F99+F101</f>
        <v>#N/A</v>
      </c>
      <c r="G95" s="68">
        <f>+SUM(G96:G102)</f>
        <v>0</v>
      </c>
      <c r="H95" s="68" t="e">
        <f>+SUM(H96:H102)</f>
        <v>#N/A</v>
      </c>
      <c r="I95" s="69" t="e">
        <f>IF(F95=0,"S/P",+H95/F95)</f>
        <v>#N/A</v>
      </c>
      <c r="J95" s="319" t="e">
        <f>+F95/(F95+F38+F56+F103+F141)</f>
        <v>#N/A</v>
      </c>
    </row>
    <row r="96" spans="1:10" s="63" customFormat="1" ht="9.75" customHeight="1"/>
    <row r="97" spans="1:9" s="12" customFormat="1" ht="12.75">
      <c r="A97" s="70" t="s">
        <v>56</v>
      </c>
      <c r="B97" s="70"/>
      <c r="C97" s="70"/>
      <c r="D97" s="70"/>
      <c r="E97" s="71"/>
      <c r="F97" s="72" t="e">
        <f>-'Gastos de Persoal'!N154-'Gastos de Persoal'!N165-'Gastos de Persoal'!S154+'Gastos de Persoal'!Q154</f>
        <v>#N/A</v>
      </c>
      <c r="G97" s="72"/>
      <c r="H97" s="72" t="e">
        <f>+G97-F97</f>
        <v>#N/A</v>
      </c>
      <c r="I97" s="73" t="e">
        <f>IF(F97=0,"S/P",+H97/F97)</f>
        <v>#N/A</v>
      </c>
    </row>
    <row r="98" spans="1:9" ht="12.75" customHeight="1">
      <c r="A98" s="74"/>
      <c r="B98" s="75" t="s">
        <v>178</v>
      </c>
      <c r="C98" s="74"/>
      <c r="D98" s="74"/>
      <c r="E98" s="76"/>
      <c r="F98" s="77"/>
      <c r="G98" s="78"/>
      <c r="H98" s="78"/>
      <c r="I98" s="78"/>
    </row>
    <row r="99" spans="1:9" s="12" customFormat="1" ht="12.75">
      <c r="A99" s="70" t="s">
        <v>58</v>
      </c>
      <c r="B99" s="70"/>
      <c r="C99" s="70"/>
      <c r="D99" s="70"/>
      <c r="E99" s="71"/>
      <c r="F99" s="72" t="e">
        <f>-'Gastos de Persoal'!P154-'Gastos de Persoal'!P165</f>
        <v>#N/A</v>
      </c>
      <c r="G99" s="72"/>
      <c r="H99" s="72" t="e">
        <f>+G99-F99</f>
        <v>#N/A</v>
      </c>
      <c r="I99" s="73" t="e">
        <f>IF(F99=0,"S/P",+H99/F99)</f>
        <v>#N/A</v>
      </c>
    </row>
    <row r="100" spans="1:9" ht="12.75" customHeight="1">
      <c r="A100" s="74"/>
      <c r="B100" s="75" t="s">
        <v>179</v>
      </c>
      <c r="C100" s="74"/>
      <c r="D100" s="74"/>
      <c r="E100" s="76"/>
      <c r="F100" s="77"/>
      <c r="G100" s="78"/>
      <c r="H100" s="78"/>
      <c r="I100" s="78"/>
    </row>
    <row r="101" spans="1:9" s="12" customFormat="1" ht="12.75">
      <c r="A101" s="70" t="s">
        <v>60</v>
      </c>
      <c r="B101" s="70"/>
      <c r="C101" s="70"/>
      <c r="D101" s="70"/>
      <c r="E101" s="71"/>
      <c r="F101" s="72">
        <f>-'Anexo Gastos '!G189</f>
        <v>0</v>
      </c>
      <c r="G101" s="72"/>
      <c r="H101" s="72">
        <f>+G101-F101</f>
        <v>0</v>
      </c>
      <c r="I101" s="73" t="str">
        <f>IF(F101=0,"S/P",+H101/F101)</f>
        <v>S/P</v>
      </c>
    </row>
    <row r="102" spans="1:9" ht="12.75" customHeight="1">
      <c r="A102" s="74"/>
      <c r="B102" s="75" t="s">
        <v>150</v>
      </c>
      <c r="C102" s="74"/>
      <c r="D102" s="74"/>
      <c r="E102" s="76"/>
      <c r="F102" s="77"/>
      <c r="G102" s="78"/>
      <c r="H102" s="78"/>
      <c r="I102" s="78"/>
    </row>
    <row r="103" spans="1:9" s="63" customFormat="1" ht="16.5">
      <c r="A103" s="65" t="s">
        <v>62</v>
      </c>
      <c r="B103" s="66"/>
      <c r="C103" s="66"/>
      <c r="D103" s="66"/>
      <c r="E103" s="67"/>
      <c r="F103" s="68">
        <f>+F105+F107+F109+F111+F113+F115+F117+F119+F125+F135+F137+F139</f>
        <v>0</v>
      </c>
      <c r="G103" s="68">
        <f>+G107+G109+G111+G113+G115+G117+G119+G125+G135+G137+G139</f>
        <v>0</v>
      </c>
      <c r="H103" s="68">
        <f>+H107+H109+H111+H113+H115+H117+H119+H125+H135+H137+H139</f>
        <v>0</v>
      </c>
      <c r="I103" s="69" t="str">
        <f>IF(F103=0,"S/P",+H103/F103)</f>
        <v>S/P</v>
      </c>
    </row>
    <row r="104" spans="1:9" s="63" customFormat="1" ht="9.75" customHeight="1"/>
    <row r="105" spans="1:9" s="12" customFormat="1" ht="12.75">
      <c r="A105" s="70" t="s">
        <v>63</v>
      </c>
      <c r="B105" s="70"/>
      <c r="C105" s="70"/>
      <c r="D105" s="70"/>
      <c r="E105" s="71"/>
      <c r="F105" s="72">
        <f>-'Anexo Gastos '!G61</f>
        <v>0</v>
      </c>
      <c r="G105" s="72"/>
      <c r="H105" s="72">
        <f>+G105-F105</f>
        <v>0</v>
      </c>
      <c r="I105" s="73" t="str">
        <f>IF(F105=0,"S/P",+H105/F105)</f>
        <v>S/P</v>
      </c>
    </row>
    <row r="106" spans="1:9" s="15" customFormat="1" ht="12.75" customHeight="1">
      <c r="A106" s="79"/>
      <c r="B106" s="75" t="s">
        <v>182</v>
      </c>
      <c r="C106" s="79"/>
      <c r="D106" s="79"/>
      <c r="E106" s="80"/>
      <c r="F106" s="81"/>
      <c r="G106" s="82"/>
      <c r="H106" s="82"/>
      <c r="I106" s="83"/>
    </row>
    <row r="107" spans="1:9" s="12" customFormat="1" ht="12.75">
      <c r="A107" s="70" t="s">
        <v>65</v>
      </c>
      <c r="B107" s="70"/>
      <c r="C107" s="70"/>
      <c r="D107" s="70"/>
      <c r="E107" s="71"/>
      <c r="F107" s="72">
        <f>-'Anexo Gastos '!G73</f>
        <v>0</v>
      </c>
      <c r="G107" s="72"/>
      <c r="H107" s="72">
        <f>+G107-F107</f>
        <v>0</v>
      </c>
      <c r="I107" s="73" t="str">
        <f>IF(F107=0,"S/P",+H107/F107)</f>
        <v>S/P</v>
      </c>
    </row>
    <row r="108" spans="1:9" s="15" customFormat="1" ht="12.75" customHeight="1">
      <c r="A108" s="79"/>
      <c r="B108" s="75" t="s">
        <v>66</v>
      </c>
      <c r="C108" s="79"/>
      <c r="D108" s="79"/>
      <c r="E108" s="80"/>
      <c r="F108" s="81"/>
      <c r="G108" s="82"/>
      <c r="H108" s="82"/>
      <c r="I108" s="83"/>
    </row>
    <row r="109" spans="1:9" s="12" customFormat="1" ht="12.75">
      <c r="A109" s="70" t="s">
        <v>151</v>
      </c>
      <c r="B109" s="70"/>
      <c r="C109" s="70"/>
      <c r="D109" s="70"/>
      <c r="E109" s="71"/>
      <c r="F109" s="72">
        <f>-'Anexo Gastos '!G85</f>
        <v>0</v>
      </c>
      <c r="G109" s="72"/>
      <c r="H109" s="72">
        <f>+G109-F109</f>
        <v>0</v>
      </c>
      <c r="I109" s="73" t="str">
        <f>IF(F109=0,"S/P",+H109/F109)</f>
        <v>S/P</v>
      </c>
    </row>
    <row r="110" spans="1:9" s="15" customFormat="1" ht="12.75" customHeight="1">
      <c r="A110" s="79"/>
      <c r="B110" s="75" t="s">
        <v>68</v>
      </c>
      <c r="C110" s="79"/>
      <c r="D110" s="79"/>
      <c r="E110" s="80"/>
      <c r="F110" s="81"/>
      <c r="G110" s="82"/>
      <c r="H110" s="82"/>
      <c r="I110" s="83"/>
    </row>
    <row r="111" spans="1:9" s="12" customFormat="1" ht="12.75" hidden="1">
      <c r="A111" s="70" t="s">
        <v>69</v>
      </c>
      <c r="B111" s="70"/>
      <c r="C111" s="70"/>
      <c r="D111" s="70"/>
      <c r="E111" s="71"/>
      <c r="F111" s="72">
        <f>-'Anexo Gastos '!G97</f>
        <v>0</v>
      </c>
      <c r="G111" s="72"/>
      <c r="H111" s="72">
        <f>+G111-F111</f>
        <v>0</v>
      </c>
      <c r="I111" s="73" t="str">
        <f>IF(F111=0,"S/P",+H111/F111)</f>
        <v>S/P</v>
      </c>
    </row>
    <row r="112" spans="1:9" s="15" customFormat="1" ht="12.75" hidden="1" customHeight="1">
      <c r="A112" s="79"/>
      <c r="B112" s="75" t="s">
        <v>183</v>
      </c>
      <c r="C112" s="79"/>
      <c r="D112" s="79"/>
      <c r="E112" s="80"/>
      <c r="F112" s="81"/>
      <c r="G112" s="82"/>
      <c r="H112" s="82"/>
      <c r="I112" s="82"/>
    </row>
    <row r="113" spans="1:9" s="12" customFormat="1" ht="12.75">
      <c r="A113" s="70" t="s">
        <v>71</v>
      </c>
      <c r="B113" s="70"/>
      <c r="C113" s="70"/>
      <c r="D113" s="70"/>
      <c r="E113" s="71"/>
      <c r="F113" s="72">
        <f>-'Anexo Gastos '!G111</f>
        <v>0</v>
      </c>
      <c r="G113" s="72"/>
      <c r="H113" s="72">
        <f>+G113-F113</f>
        <v>0</v>
      </c>
      <c r="I113" s="73" t="str">
        <f>IF(F113=0,"S/P",+H113/F113)</f>
        <v>S/P</v>
      </c>
    </row>
    <row r="114" spans="1:9" s="15" customFormat="1" ht="12.75" customHeight="1">
      <c r="A114" s="79"/>
      <c r="B114" s="75" t="s">
        <v>202</v>
      </c>
      <c r="C114" s="79"/>
      <c r="D114" s="79"/>
      <c r="E114" s="80"/>
      <c r="F114" s="81"/>
      <c r="G114" s="82"/>
      <c r="H114" s="82"/>
      <c r="I114" s="82"/>
    </row>
    <row r="115" spans="1:9" s="12" customFormat="1" ht="12.75">
      <c r="A115" s="70" t="s">
        <v>73</v>
      </c>
      <c r="B115" s="70"/>
      <c r="C115" s="70"/>
      <c r="D115" s="70"/>
      <c r="E115" s="71"/>
      <c r="F115" s="72">
        <f>-'Anexo Gastos '!G123</f>
        <v>0</v>
      </c>
      <c r="G115" s="72"/>
      <c r="H115" s="72">
        <f>+G115-F115</f>
        <v>0</v>
      </c>
      <c r="I115" s="73" t="str">
        <f>IF(F115=0,"S/P",+H115/F115)</f>
        <v>S/P</v>
      </c>
    </row>
    <row r="116" spans="1:9" s="15" customFormat="1" ht="12.75" customHeight="1">
      <c r="A116" s="79"/>
      <c r="B116" s="75" t="s">
        <v>74</v>
      </c>
      <c r="C116" s="79"/>
      <c r="D116" s="79"/>
      <c r="E116" s="80"/>
      <c r="F116" s="81"/>
      <c r="G116" s="82"/>
      <c r="H116" s="82"/>
      <c r="I116" s="82"/>
    </row>
    <row r="117" spans="1:9" s="12" customFormat="1" ht="12.75" hidden="1">
      <c r="A117" s="70" t="s">
        <v>203</v>
      </c>
      <c r="B117" s="70"/>
      <c r="C117" s="70"/>
      <c r="D117" s="70"/>
      <c r="E117" s="71"/>
      <c r="F117" s="72">
        <f>-'Anexo Gastos '!G134</f>
        <v>0</v>
      </c>
      <c r="G117" s="72"/>
      <c r="H117" s="72">
        <f>+G117-F117</f>
        <v>0</v>
      </c>
      <c r="I117" s="73" t="str">
        <f>IF(F117=0,"S/P",+H117/F117)</f>
        <v>S/P</v>
      </c>
    </row>
    <row r="118" spans="1:9" s="15" customFormat="1" ht="12.75" hidden="1" customHeight="1">
      <c r="A118" s="79"/>
      <c r="B118" s="75" t="s">
        <v>204</v>
      </c>
      <c r="C118" s="79"/>
      <c r="D118" s="79"/>
      <c r="E118" s="80"/>
      <c r="F118" s="81"/>
      <c r="G118" s="82"/>
      <c r="H118" s="82"/>
      <c r="I118" s="82"/>
    </row>
    <row r="119" spans="1:9" s="12" customFormat="1" ht="12.75">
      <c r="A119" s="70" t="s">
        <v>77</v>
      </c>
      <c r="B119" s="70"/>
      <c r="C119" s="70"/>
      <c r="D119" s="70"/>
      <c r="E119" s="71"/>
      <c r="F119" s="72">
        <f>+SUM(F120:F124)</f>
        <v>0</v>
      </c>
      <c r="G119" s="72">
        <f>+SUM(G120:G124)</f>
        <v>0</v>
      </c>
      <c r="H119" s="72">
        <f>+SUM(H120:H124)</f>
        <v>0</v>
      </c>
      <c r="I119" s="73" t="str">
        <f>IF(F119=0,"S/P",+H119/F119)</f>
        <v>S/P</v>
      </c>
    </row>
    <row r="120" spans="1:9" s="15" customFormat="1" ht="12.75" customHeight="1">
      <c r="A120" s="79"/>
      <c r="B120" s="75" t="str">
        <f>+'Anexo Gastos '!B141</f>
        <v xml:space="preserve">Luz </v>
      </c>
      <c r="C120" s="79"/>
      <c r="D120" s="79"/>
      <c r="E120" s="150"/>
      <c r="F120" s="146">
        <f>-'Anexo Gastos '!G141</f>
        <v>0</v>
      </c>
      <c r="G120" s="146"/>
      <c r="H120" s="146">
        <f>+G120-F120</f>
        <v>0</v>
      </c>
      <c r="I120" s="147" t="str">
        <f>IF(E120=0,"S/P",+H120/E120)</f>
        <v>S/P</v>
      </c>
    </row>
    <row r="121" spans="1:9" s="15" customFormat="1" ht="12.75" customHeight="1">
      <c r="A121" s="79"/>
      <c r="B121" s="75" t="str">
        <f>+'Anexo Gastos '!B142</f>
        <v>Agua</v>
      </c>
      <c r="C121" s="79"/>
      <c r="D121" s="79"/>
      <c r="E121" s="150"/>
      <c r="F121" s="146">
        <f>-'Anexo Gastos '!G142</f>
        <v>0</v>
      </c>
      <c r="G121" s="146"/>
      <c r="H121" s="146">
        <f t="shared" ref="H121:H133" si="12">+G121-F121</f>
        <v>0</v>
      </c>
      <c r="I121" s="147" t="str">
        <f t="shared" ref="I121:I133" si="13">IF(E121=0,"S/P",+H121/E121)</f>
        <v>S/P</v>
      </c>
    </row>
    <row r="122" spans="1:9" s="15" customFormat="1" ht="12.75" customHeight="1">
      <c r="A122" s="79"/>
      <c r="B122" s="75" t="str">
        <f>+'Anexo Gastos '!B143</f>
        <v>Carburantes Instalaciones</v>
      </c>
      <c r="C122" s="79"/>
      <c r="D122" s="79"/>
      <c r="E122" s="150"/>
      <c r="F122" s="146">
        <f>-'Anexo Gastos '!G143</f>
        <v>0</v>
      </c>
      <c r="G122" s="146"/>
      <c r="H122" s="146">
        <f t="shared" si="12"/>
        <v>0</v>
      </c>
      <c r="I122" s="147" t="str">
        <f t="shared" si="13"/>
        <v>S/P</v>
      </c>
    </row>
    <row r="123" spans="1:9" s="15" customFormat="1" ht="12.75" customHeight="1">
      <c r="A123" s="79"/>
      <c r="B123" s="75" t="str">
        <f>+'Anexo Gastos '!B144</f>
        <v>Carburantes Vehículos</v>
      </c>
      <c r="C123" s="79"/>
      <c r="D123" s="79"/>
      <c r="E123" s="150"/>
      <c r="F123" s="146">
        <f>-'Anexo Gastos '!G144</f>
        <v>0</v>
      </c>
      <c r="G123" s="146"/>
      <c r="H123" s="146">
        <f t="shared" si="12"/>
        <v>0</v>
      </c>
      <c r="I123" s="147" t="str">
        <f t="shared" si="13"/>
        <v>S/P</v>
      </c>
    </row>
    <row r="124" spans="1:9" s="15" customFormat="1" ht="12.75" hidden="1" customHeight="1">
      <c r="A124" s="79"/>
      <c r="B124" s="75" t="str">
        <f>+'Anexo Gastos '!B145</f>
        <v>Otros Suministros</v>
      </c>
      <c r="C124" s="79"/>
      <c r="D124" s="79"/>
      <c r="E124" s="150"/>
      <c r="F124" s="146">
        <f>-'Anexo Gastos '!G145</f>
        <v>0</v>
      </c>
      <c r="G124" s="146"/>
      <c r="H124" s="146">
        <f t="shared" si="12"/>
        <v>0</v>
      </c>
      <c r="I124" s="147" t="str">
        <f t="shared" si="13"/>
        <v>S/P</v>
      </c>
    </row>
    <row r="125" spans="1:9" s="12" customFormat="1" ht="12.75">
      <c r="A125" s="70" t="s">
        <v>154</v>
      </c>
      <c r="B125" s="70"/>
      <c r="C125" s="70"/>
      <c r="D125" s="70"/>
      <c r="E125" s="71"/>
      <c r="F125" s="72">
        <f>+SUM(F126:F134)</f>
        <v>0</v>
      </c>
      <c r="G125" s="72">
        <f>+SUM(G126:G133)</f>
        <v>0</v>
      </c>
      <c r="H125" s="72">
        <f>+SUM(H126:H133)</f>
        <v>0</v>
      </c>
      <c r="I125" s="73" t="str">
        <f>IF(F125=0,"S/P",+H125/F125)</f>
        <v>S/P</v>
      </c>
    </row>
    <row r="126" spans="1:9" s="15" customFormat="1" ht="12.75" customHeight="1">
      <c r="A126" s="79"/>
      <c r="B126" s="75" t="str">
        <f>+'Anexo Gastos '!B153</f>
        <v>Correos e Mensaxería</v>
      </c>
      <c r="C126" s="79"/>
      <c r="D126" s="79"/>
      <c r="E126" s="150"/>
      <c r="F126" s="146">
        <f>-'Anexo Gastos '!G153</f>
        <v>0</v>
      </c>
      <c r="G126" s="146"/>
      <c r="H126" s="146">
        <f t="shared" si="12"/>
        <v>0</v>
      </c>
      <c r="I126" s="147" t="str">
        <f t="shared" si="13"/>
        <v>S/P</v>
      </c>
    </row>
    <row r="127" spans="1:9" s="15" customFormat="1" ht="12.75" customHeight="1">
      <c r="A127" s="79"/>
      <c r="B127" s="75" t="str">
        <f>+'Anexo Gastos '!B154</f>
        <v>Asesoría e Auditoría</v>
      </c>
      <c r="C127" s="79"/>
      <c r="D127" s="79"/>
      <c r="E127" s="150"/>
      <c r="F127" s="146">
        <f>-'Anexo Gastos '!G154</f>
        <v>0</v>
      </c>
      <c r="G127" s="146"/>
      <c r="H127" s="146">
        <f t="shared" si="12"/>
        <v>0</v>
      </c>
      <c r="I127" s="147" t="str">
        <f t="shared" si="13"/>
        <v>S/P</v>
      </c>
    </row>
    <row r="128" spans="1:9" s="15" customFormat="1" ht="12.75" hidden="1" customHeight="1">
      <c r="A128" s="79"/>
      <c r="B128" s="75" t="str">
        <f>+'Anexo Gastos '!B155</f>
        <v>Gastos de Viaje</v>
      </c>
      <c r="C128" s="79"/>
      <c r="D128" s="79"/>
      <c r="E128" s="150"/>
      <c r="F128" s="146">
        <f>-'Anexo Gastos '!G155</f>
        <v>0</v>
      </c>
      <c r="G128" s="146"/>
      <c r="H128" s="146">
        <f t="shared" si="12"/>
        <v>0</v>
      </c>
      <c r="I128" s="147" t="str">
        <f t="shared" si="13"/>
        <v>S/P</v>
      </c>
    </row>
    <row r="129" spans="1:9" s="15" customFormat="1" ht="12.75" hidden="1" customHeight="1">
      <c r="A129" s="79"/>
      <c r="B129" s="75" t="str">
        <f>+'Anexo Gastos '!B156</f>
        <v>Comunidad de Vecinos</v>
      </c>
      <c r="C129" s="79"/>
      <c r="D129" s="79"/>
      <c r="E129" s="150"/>
      <c r="F129" s="146">
        <f>-'Anexo Gastos '!G156</f>
        <v>0</v>
      </c>
      <c r="G129" s="146"/>
      <c r="H129" s="146">
        <f t="shared" si="12"/>
        <v>0</v>
      </c>
      <c r="I129" s="147" t="str">
        <f t="shared" si="13"/>
        <v>S/P</v>
      </c>
    </row>
    <row r="130" spans="1:9" s="15" customFormat="1" ht="12.75" customHeight="1">
      <c r="A130" s="79"/>
      <c r="B130" s="75" t="str">
        <f>+'Anexo Gastos '!B157</f>
        <v>Material de Oficina</v>
      </c>
      <c r="C130" s="79"/>
      <c r="D130" s="79"/>
      <c r="E130" s="150"/>
      <c r="F130" s="146">
        <f>-'Anexo Gastos '!G157</f>
        <v>0</v>
      </c>
      <c r="G130" s="146"/>
      <c r="H130" s="146">
        <f t="shared" si="12"/>
        <v>0</v>
      </c>
      <c r="I130" s="147" t="str">
        <f t="shared" si="13"/>
        <v>S/P</v>
      </c>
    </row>
    <row r="131" spans="1:9" s="15" customFormat="1" ht="12.75" hidden="1" customHeight="1">
      <c r="A131" s="79"/>
      <c r="B131" s="75" t="str">
        <f>+'Anexo Gastos '!B158</f>
        <v>Cuotas Asociativas</v>
      </c>
      <c r="C131" s="79"/>
      <c r="D131" s="79"/>
      <c r="E131" s="150"/>
      <c r="F131" s="146">
        <f>-'Anexo Gastos '!G158</f>
        <v>0</v>
      </c>
      <c r="G131" s="146"/>
      <c r="H131" s="146">
        <f t="shared" si="12"/>
        <v>0</v>
      </c>
      <c r="I131" s="147" t="str">
        <f t="shared" si="13"/>
        <v>S/P</v>
      </c>
    </row>
    <row r="132" spans="1:9" s="15" customFormat="1" ht="12.75" hidden="1" customHeight="1">
      <c r="A132" s="79"/>
      <c r="B132" s="75" t="str">
        <f>+'Anexo Gastos '!B159</f>
        <v>Comisión Central de Compras</v>
      </c>
      <c r="C132" s="79"/>
      <c r="D132" s="79"/>
      <c r="E132" s="150"/>
      <c r="F132" s="146">
        <f>-'Anexo Gastos '!G159</f>
        <v>0</v>
      </c>
      <c r="G132" s="146"/>
      <c r="H132" s="146">
        <f t="shared" si="12"/>
        <v>0</v>
      </c>
      <c r="I132" s="147" t="str">
        <f t="shared" si="13"/>
        <v>S/P</v>
      </c>
    </row>
    <row r="133" spans="1:9" s="15" customFormat="1" ht="12.75" customHeight="1">
      <c r="A133" s="79"/>
      <c r="B133" s="75" t="str">
        <f>+'Anexo Gastos '!B160</f>
        <v>Protección datos</v>
      </c>
      <c r="C133" s="79"/>
      <c r="D133" s="79"/>
      <c r="E133" s="150"/>
      <c r="F133" s="146">
        <f>-'Anexo Gastos '!G160</f>
        <v>0</v>
      </c>
      <c r="G133" s="146"/>
      <c r="H133" s="146">
        <f t="shared" si="12"/>
        <v>0</v>
      </c>
      <c r="I133" s="147" t="str">
        <f t="shared" si="13"/>
        <v>S/P</v>
      </c>
    </row>
    <row r="134" spans="1:9" s="15" customFormat="1" ht="12.75" customHeight="1">
      <c r="A134" s="79"/>
      <c r="B134" s="75" t="str">
        <f>+'Anexo Gastos '!B161</f>
        <v>Telefonía Fija y Móvil</v>
      </c>
      <c r="C134" s="79"/>
      <c r="D134" s="79"/>
      <c r="E134" s="150"/>
      <c r="F134" s="146">
        <f>-'Anexo Gastos '!G161</f>
        <v>0</v>
      </c>
      <c r="G134" s="146"/>
      <c r="H134" s="146"/>
      <c r="I134" s="147"/>
    </row>
    <row r="135" spans="1:9" s="12" customFormat="1" ht="12.75">
      <c r="A135" s="70" t="s">
        <v>81</v>
      </c>
      <c r="B135" s="70"/>
      <c r="C135" s="70"/>
      <c r="D135" s="70"/>
      <c r="E135" s="71"/>
      <c r="F135" s="72">
        <f>-'Anexo Gastos '!G176</f>
        <v>0</v>
      </c>
      <c r="G135" s="72"/>
      <c r="H135" s="72">
        <f>+G135-F135</f>
        <v>0</v>
      </c>
      <c r="I135" s="73" t="str">
        <f>IF(F135=0,"S/P",+H135/F135)</f>
        <v>S/P</v>
      </c>
    </row>
    <row r="136" spans="1:9" s="15" customFormat="1" ht="12.75" customHeight="1">
      <c r="A136" s="79"/>
      <c r="B136" s="75" t="s">
        <v>205</v>
      </c>
      <c r="C136" s="79"/>
      <c r="D136" s="79"/>
      <c r="E136" s="80"/>
      <c r="F136" s="81"/>
      <c r="G136" s="84"/>
      <c r="H136" s="84"/>
      <c r="I136" s="84"/>
    </row>
    <row r="137" spans="1:9" s="12" customFormat="1" ht="12.75" hidden="1">
      <c r="A137" s="70" t="s">
        <v>206</v>
      </c>
      <c r="B137" s="70"/>
      <c r="C137" s="70"/>
      <c r="D137" s="70"/>
      <c r="E137" s="71"/>
      <c r="F137" s="72">
        <v>0</v>
      </c>
      <c r="G137" s="72"/>
      <c r="H137" s="72">
        <f>+G137-F137</f>
        <v>0</v>
      </c>
      <c r="I137" s="73" t="str">
        <f>IF(F137=0,"S/P",+H137/F137)</f>
        <v>S/P</v>
      </c>
    </row>
    <row r="138" spans="1:9" s="15" customFormat="1" ht="12.75" hidden="1" customHeight="1">
      <c r="A138" s="79"/>
      <c r="B138" s="75" t="s">
        <v>84</v>
      </c>
      <c r="C138" s="79"/>
      <c r="D138" s="79"/>
      <c r="E138" s="80"/>
      <c r="F138" s="81"/>
      <c r="G138" s="84"/>
      <c r="H138" s="84"/>
      <c r="I138" s="84"/>
    </row>
    <row r="139" spans="1:9" s="12" customFormat="1" ht="12.75" hidden="1">
      <c r="A139" s="70" t="s">
        <v>85</v>
      </c>
      <c r="B139" s="70"/>
      <c r="C139" s="70"/>
      <c r="D139" s="70"/>
      <c r="E139" s="71"/>
      <c r="F139" s="72"/>
      <c r="G139" s="72"/>
      <c r="H139" s="72">
        <f>+G139-F139</f>
        <v>0</v>
      </c>
      <c r="I139" s="73" t="str">
        <f>IF(F139=0,"S/P",+H139/F139)</f>
        <v>S/P</v>
      </c>
    </row>
    <row r="140" spans="1:9" s="15" customFormat="1" ht="12.75" hidden="1" customHeight="1">
      <c r="A140" s="79"/>
      <c r="B140" s="75" t="s">
        <v>86</v>
      </c>
      <c r="C140" s="79"/>
      <c r="D140" s="79"/>
      <c r="E140" s="80"/>
      <c r="F140" s="81"/>
      <c r="G140" s="84"/>
      <c r="H140" s="84"/>
      <c r="I140" s="84"/>
    </row>
    <row r="141" spans="1:9" s="63" customFormat="1" ht="16.5">
      <c r="A141" s="65" t="s">
        <v>87</v>
      </c>
      <c r="B141" s="66"/>
      <c r="C141" s="66"/>
      <c r="D141" s="66"/>
      <c r="E141" s="67"/>
      <c r="F141" s="68">
        <f>+F145+F143</f>
        <v>0</v>
      </c>
      <c r="G141" s="68">
        <f>+SUM(G142:G146)</f>
        <v>0</v>
      </c>
      <c r="H141" s="68">
        <f>+SUM(H142:H146)</f>
        <v>0</v>
      </c>
      <c r="I141" s="69" t="str">
        <f>IF(F141=0,"S/P",+H141/F141)</f>
        <v>S/P</v>
      </c>
    </row>
    <row r="142" spans="1:9" s="63" customFormat="1" ht="9.75" customHeight="1"/>
    <row r="143" spans="1:9" s="12" customFormat="1" ht="12.75">
      <c r="A143" s="70" t="s">
        <v>88</v>
      </c>
      <c r="B143" s="70"/>
      <c r="C143" s="70"/>
      <c r="D143" s="70"/>
      <c r="E143" s="71"/>
      <c r="F143" s="72">
        <f>-'Amort-Sub K'!J7</f>
        <v>0</v>
      </c>
      <c r="G143" s="72"/>
      <c r="H143" s="72">
        <f>+G143-F143</f>
        <v>0</v>
      </c>
      <c r="I143" s="73" t="str">
        <f>IF(F143=0,"S/P",+H143/F143)</f>
        <v>S/P</v>
      </c>
    </row>
    <row r="144" spans="1:9" s="15" customFormat="1" ht="12.75" customHeight="1">
      <c r="A144" s="79"/>
      <c r="B144" s="75" t="s">
        <v>89</v>
      </c>
      <c r="C144" s="79"/>
      <c r="D144" s="79"/>
      <c r="E144" s="80"/>
      <c r="F144" s="81"/>
      <c r="G144" s="84"/>
      <c r="H144" s="84"/>
      <c r="I144" s="84"/>
    </row>
    <row r="145" spans="1:9" s="12" customFormat="1" ht="12.75">
      <c r="A145" s="70" t="s">
        <v>90</v>
      </c>
      <c r="B145" s="70"/>
      <c r="C145" s="70"/>
      <c r="D145" s="70"/>
      <c r="E145" s="71"/>
      <c r="F145" s="72">
        <f>-'Amort-Sub K'!J245</f>
        <v>0</v>
      </c>
      <c r="G145" s="72"/>
      <c r="H145" s="72">
        <f>+G145-F145</f>
        <v>0</v>
      </c>
      <c r="I145" s="73" t="str">
        <f>IF(F145=0,"S/P",+H145/F145)</f>
        <v>S/P</v>
      </c>
    </row>
    <row r="146" spans="1:9" s="15" customFormat="1" ht="12.75" customHeight="1">
      <c r="A146" s="79"/>
      <c r="B146" s="75" t="s">
        <v>89</v>
      </c>
      <c r="C146" s="79"/>
      <c r="D146" s="79"/>
      <c r="E146" s="80"/>
      <c r="F146" s="81"/>
      <c r="G146" s="84"/>
      <c r="H146" s="84"/>
      <c r="I146" s="84"/>
    </row>
    <row r="147" spans="1:9" s="63" customFormat="1" ht="16.5">
      <c r="A147" s="58" t="s">
        <v>207</v>
      </c>
      <c r="B147" s="59"/>
      <c r="C147" s="59"/>
      <c r="D147" s="59"/>
      <c r="E147" s="60"/>
      <c r="F147" s="61">
        <f>+F151+F149</f>
        <v>0</v>
      </c>
      <c r="G147" s="61">
        <f>+SUM(G148:G152)</f>
        <v>0</v>
      </c>
      <c r="H147" s="61">
        <f>+SUM(H148:H152)</f>
        <v>0</v>
      </c>
      <c r="I147" s="62" t="str">
        <f>IF(F147=0,"S/P",+H147/F147)</f>
        <v>S/P</v>
      </c>
    </row>
    <row r="148" spans="1:9" s="63" customFormat="1" ht="9.75" customHeight="1"/>
    <row r="149" spans="1:9" s="12" customFormat="1" ht="12.75">
      <c r="A149" s="341" t="s">
        <v>208</v>
      </c>
      <c r="B149" s="341"/>
      <c r="C149" s="341"/>
      <c r="D149" s="341"/>
      <c r="E149" s="342"/>
      <c r="F149" s="343">
        <f>'Amort-Sub K'!R7+'Amort-Sub K'!R245</f>
        <v>0</v>
      </c>
      <c r="G149" s="343"/>
      <c r="H149" s="343">
        <f>+G149-F149</f>
        <v>0</v>
      </c>
      <c r="I149" s="344" t="str">
        <f>IF(F149=0,"S/P",+H149/F149)</f>
        <v>S/P</v>
      </c>
    </row>
    <row r="150" spans="1:9" s="15" customFormat="1" ht="12.75" customHeight="1">
      <c r="B150" s="25" t="s">
        <v>159</v>
      </c>
      <c r="E150" s="46"/>
      <c r="F150" s="84"/>
      <c r="G150" s="84"/>
      <c r="H150" s="84"/>
      <c r="I150" s="84"/>
    </row>
    <row r="151" spans="1:9" s="12" customFormat="1" ht="12.75" hidden="1">
      <c r="A151" s="341" t="s">
        <v>209</v>
      </c>
      <c r="B151" s="341"/>
      <c r="C151" s="341"/>
      <c r="D151" s="341"/>
      <c r="E151" s="342"/>
      <c r="F151" s="343"/>
      <c r="G151" s="343"/>
      <c r="H151" s="343">
        <f>+G151-F151</f>
        <v>0</v>
      </c>
      <c r="I151" s="344" t="str">
        <f>IF(F151=0,"S/P",+H151/F151)</f>
        <v>S/P</v>
      </c>
    </row>
    <row r="152" spans="1:9" s="15" customFormat="1" ht="12.75" hidden="1" customHeight="1">
      <c r="B152" s="25" t="s">
        <v>159</v>
      </c>
      <c r="E152" s="46"/>
      <c r="F152" s="84"/>
      <c r="G152" s="84"/>
      <c r="H152" s="84"/>
      <c r="I152" s="84"/>
    </row>
    <row r="153" spans="1:9" s="63" customFormat="1" ht="16.5" hidden="1">
      <c r="A153" s="58" t="s">
        <v>95</v>
      </c>
      <c r="B153" s="59"/>
      <c r="C153" s="59"/>
      <c r="D153" s="59"/>
      <c r="E153" s="60"/>
      <c r="F153" s="61">
        <f>+F155</f>
        <v>0</v>
      </c>
      <c r="G153" s="61">
        <f>+G155</f>
        <v>0</v>
      </c>
      <c r="H153" s="61">
        <f>+H155</f>
        <v>0</v>
      </c>
      <c r="I153" s="62" t="str">
        <f>IF(F153=0,"S/P",+H153/F153)</f>
        <v>S/P</v>
      </c>
    </row>
    <row r="154" spans="1:9" s="63" customFormat="1" ht="9.75" hidden="1" customHeight="1"/>
    <row r="155" spans="1:9" s="12" customFormat="1" ht="12.75" hidden="1">
      <c r="A155" s="341" t="s">
        <v>96</v>
      </c>
      <c r="B155" s="341"/>
      <c r="C155" s="341"/>
      <c r="D155" s="341"/>
      <c r="E155" s="342"/>
      <c r="F155" s="343"/>
      <c r="G155" s="343"/>
      <c r="H155" s="343">
        <f>+G155-F155</f>
        <v>0</v>
      </c>
      <c r="I155" s="344" t="str">
        <f>IF(F155=0,"S/P",+H155/F155)</f>
        <v>S/P</v>
      </c>
    </row>
    <row r="156" spans="1:9" s="15" customFormat="1" ht="12.75" hidden="1" customHeight="1">
      <c r="B156" s="25" t="s">
        <v>210</v>
      </c>
      <c r="E156" s="46"/>
      <c r="F156" s="84"/>
      <c r="G156" s="84"/>
      <c r="H156" s="84"/>
      <c r="I156" s="84"/>
    </row>
    <row r="157" spans="1:9" s="63" customFormat="1" ht="16.5" hidden="1">
      <c r="A157" s="108" t="s">
        <v>211</v>
      </c>
      <c r="B157" s="109"/>
      <c r="C157" s="109"/>
      <c r="D157" s="109"/>
      <c r="E157" s="110"/>
      <c r="F157" s="111">
        <f>+F161+F159</f>
        <v>0</v>
      </c>
      <c r="G157" s="111">
        <f>+G159+G161</f>
        <v>0</v>
      </c>
      <c r="H157" s="111">
        <f>+H159+H161</f>
        <v>0</v>
      </c>
      <c r="I157" s="143" t="str">
        <f>IF(F157=0,"S/P",+H157/F157)</f>
        <v>S/P</v>
      </c>
    </row>
    <row r="158" spans="1:9" s="63" customFormat="1" ht="9.75" hidden="1" customHeight="1">
      <c r="A158" s="112"/>
      <c r="B158" s="112"/>
      <c r="C158" s="112"/>
      <c r="D158" s="112"/>
      <c r="E158" s="112"/>
      <c r="F158" s="112"/>
      <c r="G158" s="112"/>
      <c r="H158" s="112"/>
      <c r="I158" s="112"/>
    </row>
    <row r="159" spans="1:9" s="12" customFormat="1" ht="12.75" hidden="1">
      <c r="A159" s="113" t="s">
        <v>99</v>
      </c>
      <c r="B159" s="113"/>
      <c r="C159" s="113"/>
      <c r="D159" s="113"/>
      <c r="E159" s="114"/>
      <c r="F159" s="115"/>
      <c r="G159" s="115"/>
      <c r="H159" s="115">
        <f>+G159-F159</f>
        <v>0</v>
      </c>
      <c r="I159" s="144" t="str">
        <f>IF(F159=0,"S/P",+H159/F159)</f>
        <v>S/P</v>
      </c>
    </row>
    <row r="160" spans="1:9" s="15" customFormat="1" ht="12.75" hidden="1" customHeight="1">
      <c r="A160" s="121"/>
      <c r="B160" s="117" t="s">
        <v>212</v>
      </c>
      <c r="C160" s="121"/>
      <c r="D160" s="121"/>
      <c r="E160" s="122"/>
      <c r="F160" s="123"/>
      <c r="G160" s="123"/>
      <c r="H160" s="123"/>
      <c r="I160" s="123"/>
    </row>
    <row r="161" spans="1:9" s="12" customFormat="1" ht="12.75" hidden="1">
      <c r="A161" s="113" t="s">
        <v>161</v>
      </c>
      <c r="B161" s="113"/>
      <c r="C161" s="113"/>
      <c r="D161" s="113"/>
      <c r="E161" s="114"/>
      <c r="F161" s="115"/>
      <c r="G161" s="115"/>
      <c r="H161" s="115">
        <f>+G161-F161</f>
        <v>0</v>
      </c>
      <c r="I161" s="144" t="str">
        <f>IF(F161=0,"S/P",+H161/F161)</f>
        <v>S/P</v>
      </c>
    </row>
    <row r="162" spans="1:9" s="15" customFormat="1" ht="12.75" hidden="1" customHeight="1">
      <c r="A162" s="121"/>
      <c r="B162" s="117" t="s">
        <v>162</v>
      </c>
      <c r="C162" s="121"/>
      <c r="D162" s="121"/>
      <c r="E162" s="122"/>
      <c r="F162" s="123"/>
      <c r="G162" s="84"/>
      <c r="H162" s="84"/>
      <c r="I162" s="84"/>
    </row>
    <row r="163" spans="1:9" s="63" customFormat="1" ht="16.5">
      <c r="A163" s="124" t="s">
        <v>163</v>
      </c>
      <c r="B163" s="125"/>
      <c r="C163" s="125"/>
      <c r="D163" s="125"/>
      <c r="E163" s="126"/>
      <c r="F163" s="127" t="e">
        <f>+F2+F95+F103+F141+F25+F38+F48+F52+F56+F83+F147+F153+F157</f>
        <v>#N/A</v>
      </c>
      <c r="G163" s="127">
        <f>+G2+G25+G38+G48+G52+G56+G83+G95+G103+G141+G147+G153+G157</f>
        <v>0</v>
      </c>
      <c r="H163" s="127" t="e">
        <f>+H2+H25+H38+H48+H52+H56+H83+H95+H103+H141+H147+H153+H157</f>
        <v>#N/A</v>
      </c>
      <c r="I163" s="127" t="e">
        <f>IF(F163=0,"S/P",+H163/F163)</f>
        <v>#N/A</v>
      </c>
    </row>
    <row r="164" spans="1:9" s="63" customFormat="1" ht="10.5" customHeight="1"/>
    <row r="165" spans="1:9" s="63" customFormat="1" ht="16.5" hidden="1">
      <c r="A165" s="58" t="s">
        <v>104</v>
      </c>
      <c r="B165" s="59"/>
      <c r="C165" s="59"/>
      <c r="D165" s="59"/>
      <c r="E165" s="60"/>
      <c r="F165" s="61">
        <f>+SUM(F167:F173)</f>
        <v>0</v>
      </c>
      <c r="G165" s="61">
        <f>+SUM(G166:G174)</f>
        <v>0</v>
      </c>
      <c r="H165" s="61">
        <f>+SUM(H166:H174)</f>
        <v>0</v>
      </c>
      <c r="I165" s="62" t="str">
        <f>IF(F165=0,"S/P",+H165/F165)</f>
        <v>S/P</v>
      </c>
    </row>
    <row r="166" spans="1:9" s="63" customFormat="1" ht="9.75" hidden="1" customHeight="1"/>
    <row r="167" spans="1:9" s="12" customFormat="1" ht="12.75" hidden="1">
      <c r="A167" s="341" t="s">
        <v>105</v>
      </c>
      <c r="B167" s="341"/>
      <c r="C167" s="341"/>
      <c r="D167" s="341"/>
      <c r="E167" s="342"/>
      <c r="F167" s="343">
        <f>+'Anexo Ingresos'!G97</f>
        <v>0</v>
      </c>
      <c r="G167" s="343"/>
      <c r="H167" s="343">
        <f>+G167-F167</f>
        <v>0</v>
      </c>
      <c r="I167" s="344" t="str">
        <f>IF(F167=0,"S/P",+H167/F167)</f>
        <v>S/P</v>
      </c>
    </row>
    <row r="168" spans="1:9" s="15" customFormat="1" ht="12.75" hidden="1" customHeight="1">
      <c r="B168" s="25" t="s">
        <v>106</v>
      </c>
      <c r="E168" s="46"/>
      <c r="F168" s="84"/>
      <c r="G168" s="84"/>
      <c r="H168" s="84"/>
      <c r="I168" s="84"/>
    </row>
    <row r="169" spans="1:9" s="12" customFormat="1" ht="12.75" hidden="1">
      <c r="A169" s="341" t="s">
        <v>107</v>
      </c>
      <c r="B169" s="341"/>
      <c r="C169" s="341"/>
      <c r="D169" s="341"/>
      <c r="E169" s="342"/>
      <c r="F169" s="343">
        <f>+'Anexo Ingresos'!G103</f>
        <v>0</v>
      </c>
      <c r="G169" s="343"/>
      <c r="H169" s="343">
        <f>+G169-F169</f>
        <v>0</v>
      </c>
      <c r="I169" s="344" t="str">
        <f>IF(F169=0,"S/P",+H169/F169)</f>
        <v>S/P</v>
      </c>
    </row>
    <row r="170" spans="1:9" s="15" customFormat="1" ht="12.75" hidden="1" customHeight="1">
      <c r="B170" s="25" t="s">
        <v>108</v>
      </c>
      <c r="E170" s="46"/>
      <c r="F170" s="84"/>
      <c r="G170" s="84"/>
      <c r="H170" s="84"/>
      <c r="I170" s="84"/>
    </row>
    <row r="171" spans="1:9" s="12" customFormat="1" ht="12.75" hidden="1">
      <c r="A171" s="341" t="s">
        <v>109</v>
      </c>
      <c r="B171" s="341"/>
      <c r="C171" s="341"/>
      <c r="D171" s="341"/>
      <c r="E171" s="342"/>
      <c r="F171" s="343">
        <f>+'Anexo Ingresos'!G115</f>
        <v>0</v>
      </c>
      <c r="G171" s="343"/>
      <c r="H171" s="343">
        <f>+G171-F171</f>
        <v>0</v>
      </c>
      <c r="I171" s="344" t="str">
        <f>IF(F171=0,"S/P",+H171/F171)</f>
        <v>S/P</v>
      </c>
    </row>
    <row r="172" spans="1:9" s="15" customFormat="1" ht="12.75" hidden="1" customHeight="1">
      <c r="B172" s="25" t="s">
        <v>110</v>
      </c>
      <c r="E172" s="46"/>
      <c r="F172" s="84"/>
      <c r="G172" s="84"/>
      <c r="H172" s="84"/>
      <c r="I172" s="84"/>
    </row>
    <row r="173" spans="1:9" s="12" customFormat="1" ht="12.75" hidden="1">
      <c r="A173" s="341" t="s">
        <v>111</v>
      </c>
      <c r="B173" s="341"/>
      <c r="C173" s="341"/>
      <c r="D173" s="341"/>
      <c r="E173" s="342"/>
      <c r="F173" s="343">
        <f>+'Anexo Ingresos'!G121</f>
        <v>0</v>
      </c>
      <c r="G173" s="343"/>
      <c r="H173" s="343">
        <f>+G173-F173</f>
        <v>0</v>
      </c>
      <c r="I173" s="344" t="str">
        <f>IF(F173=0,"S/P",+H173/F173)</f>
        <v>S/P</v>
      </c>
    </row>
    <row r="174" spans="1:9" s="15" customFormat="1" ht="12.75" hidden="1" customHeight="1">
      <c r="B174" s="25" t="s">
        <v>213</v>
      </c>
      <c r="E174" s="46"/>
      <c r="F174" s="84"/>
      <c r="G174" s="84"/>
      <c r="H174" s="84"/>
      <c r="I174" s="84"/>
    </row>
    <row r="175" spans="1:9" s="133" customFormat="1" ht="16.5" hidden="1">
      <c r="A175" s="128" t="s">
        <v>113</v>
      </c>
      <c r="B175" s="129"/>
      <c r="C175" s="129"/>
      <c r="D175" s="129"/>
      <c r="E175" s="130"/>
      <c r="F175" s="131">
        <f>+SUM(F177:F183)</f>
        <v>0</v>
      </c>
      <c r="G175" s="131">
        <f>+SUM(G176:G184)</f>
        <v>0</v>
      </c>
      <c r="H175" s="131">
        <f>+SUM(H176:H184)</f>
        <v>0</v>
      </c>
      <c r="I175" s="132" t="str">
        <f>IF(F175=0,"S/P",+H175/F175)</f>
        <v>S/P</v>
      </c>
    </row>
    <row r="176" spans="1:9" s="133" customFormat="1" ht="9.75" hidden="1" customHeight="1"/>
    <row r="177" spans="1:9" s="138" customFormat="1" ht="12.75" hidden="1">
      <c r="A177" s="134" t="s">
        <v>214</v>
      </c>
      <c r="B177" s="134"/>
      <c r="C177" s="134"/>
      <c r="D177" s="134"/>
      <c r="E177" s="135"/>
      <c r="F177" s="136">
        <f>-'Anexo Gastos '!G279</f>
        <v>0</v>
      </c>
      <c r="G177" s="136"/>
      <c r="H177" s="136">
        <f>+G177-F177</f>
        <v>0</v>
      </c>
      <c r="I177" s="137" t="str">
        <f>IF(F177=0,"S/P",+H177/F177)</f>
        <v>S/P</v>
      </c>
    </row>
    <row r="178" spans="1:9" s="139" customFormat="1" ht="12.75" hidden="1" customHeight="1">
      <c r="B178" s="140" t="s">
        <v>115</v>
      </c>
      <c r="E178" s="141"/>
      <c r="F178" s="142"/>
      <c r="G178" s="142"/>
      <c r="H178" s="142"/>
      <c r="I178" s="142"/>
    </row>
    <row r="179" spans="1:9" s="138" customFormat="1" ht="12.75" hidden="1">
      <c r="A179" s="134" t="s">
        <v>194</v>
      </c>
      <c r="B179" s="134"/>
      <c r="C179" s="134"/>
      <c r="D179" s="134"/>
      <c r="E179" s="135"/>
      <c r="F179" s="136">
        <f>-'Anexo Gastos '!G285</f>
        <v>0</v>
      </c>
      <c r="G179" s="136"/>
      <c r="H179" s="136">
        <f>+G179-F179</f>
        <v>0</v>
      </c>
      <c r="I179" s="137" t="str">
        <f>IF(F179=0,"S/P",+H179/F179)</f>
        <v>S/P</v>
      </c>
    </row>
    <row r="180" spans="1:9" s="139" customFormat="1" ht="12.75" hidden="1" customHeight="1">
      <c r="B180" s="140" t="s">
        <v>164</v>
      </c>
      <c r="E180" s="141"/>
      <c r="F180" s="142"/>
      <c r="G180" s="142"/>
      <c r="H180" s="142"/>
      <c r="I180" s="142"/>
    </row>
    <row r="181" spans="1:9" s="138" customFormat="1" ht="12.75" hidden="1">
      <c r="A181" s="134" t="s">
        <v>118</v>
      </c>
      <c r="B181" s="134"/>
      <c r="C181" s="134"/>
      <c r="D181" s="134"/>
      <c r="E181" s="135"/>
      <c r="F181" s="136">
        <f>-'Anexo Gastos '!G291</f>
        <v>0</v>
      </c>
      <c r="G181" s="136"/>
      <c r="H181" s="136">
        <f>+G181-F181</f>
        <v>0</v>
      </c>
      <c r="I181" s="137" t="str">
        <f>IF(F181=0,"S/P",+H181/F181)</f>
        <v>S/P</v>
      </c>
    </row>
    <row r="182" spans="1:9" s="139" customFormat="1" ht="12.75" hidden="1" customHeight="1">
      <c r="B182" s="140" t="s">
        <v>119</v>
      </c>
      <c r="E182" s="141"/>
      <c r="F182" s="142"/>
      <c r="G182" s="142"/>
      <c r="H182" s="142"/>
      <c r="I182" s="142"/>
    </row>
    <row r="183" spans="1:9" s="138" customFormat="1" ht="12.75" hidden="1">
      <c r="A183" s="134" t="s">
        <v>120</v>
      </c>
      <c r="B183" s="134"/>
      <c r="C183" s="134"/>
      <c r="D183" s="134"/>
      <c r="E183" s="135"/>
      <c r="F183" s="136">
        <f>-'Anexo Gastos '!G297</f>
        <v>0</v>
      </c>
      <c r="G183" s="136"/>
      <c r="H183" s="136">
        <f>+G183-F183</f>
        <v>0</v>
      </c>
      <c r="I183" s="137" t="str">
        <f>IF(F183=0,"S/P",+H183/F183)</f>
        <v>S/P</v>
      </c>
    </row>
    <row r="184" spans="1:9" s="139" customFormat="1" ht="12.75" hidden="1" customHeight="1">
      <c r="B184" s="140" t="s">
        <v>121</v>
      </c>
      <c r="E184" s="141"/>
      <c r="F184" s="142"/>
      <c r="G184" s="142"/>
      <c r="H184" s="142"/>
      <c r="I184" s="142"/>
    </row>
    <row r="185" spans="1:9" s="63" customFormat="1" ht="16.5" hidden="1">
      <c r="A185" s="108" t="s">
        <v>122</v>
      </c>
      <c r="B185" s="109"/>
      <c r="C185" s="109"/>
      <c r="D185" s="109"/>
      <c r="E185" s="110"/>
      <c r="F185" s="111">
        <f>+F189+F187</f>
        <v>0</v>
      </c>
      <c r="G185" s="111">
        <f>+SUM(G186:G190)</f>
        <v>0</v>
      </c>
      <c r="H185" s="111">
        <f>+SUM(H186:H190)</f>
        <v>0</v>
      </c>
      <c r="I185" s="143" t="str">
        <f>IF(F185=0,"S/P",+H185/F185)</f>
        <v>S/P</v>
      </c>
    </row>
    <row r="186" spans="1:9" s="63" customFormat="1" ht="9.75" hidden="1" customHeight="1"/>
    <row r="187" spans="1:9" s="12" customFormat="1" ht="12.75" hidden="1">
      <c r="A187" s="134" t="s">
        <v>123</v>
      </c>
      <c r="B187" s="134"/>
      <c r="C187" s="341"/>
      <c r="D187" s="341"/>
      <c r="E187" s="342"/>
      <c r="F187" s="343"/>
      <c r="G187" s="136"/>
      <c r="H187" s="136">
        <f>+G187-F187</f>
        <v>0</v>
      </c>
      <c r="I187" s="137" t="str">
        <f>IF(F187=0,"S/P",+H187/F187)</f>
        <v>S/P</v>
      </c>
    </row>
    <row r="188" spans="1:9" s="15" customFormat="1" ht="12.75" hidden="1" customHeight="1">
      <c r="A188" s="139"/>
      <c r="B188" s="140" t="s">
        <v>124</v>
      </c>
      <c r="E188" s="46"/>
      <c r="F188" s="84"/>
      <c r="G188" s="84"/>
      <c r="H188" s="84"/>
      <c r="I188" s="84"/>
    </row>
    <row r="189" spans="1:9" s="12" customFormat="1" ht="12.75" hidden="1">
      <c r="A189" s="341" t="s">
        <v>125</v>
      </c>
      <c r="B189" s="341"/>
      <c r="C189" s="341"/>
      <c r="D189" s="341"/>
      <c r="E189" s="342"/>
      <c r="F189" s="343"/>
      <c r="G189" s="343"/>
      <c r="H189" s="343">
        <f>+G189-F189</f>
        <v>0</v>
      </c>
      <c r="I189" s="344" t="str">
        <f>IF(F189=0,"S/P",+H189/F189)</f>
        <v>S/P</v>
      </c>
    </row>
    <row r="190" spans="1:9" s="15" customFormat="1" ht="12.75" hidden="1" customHeight="1">
      <c r="B190" s="25" t="s">
        <v>126</v>
      </c>
      <c r="E190" s="46"/>
      <c r="F190" s="84"/>
      <c r="G190" s="84"/>
      <c r="H190" s="84"/>
      <c r="I190" s="84"/>
    </row>
    <row r="191" spans="1:9" s="63" customFormat="1" ht="16.5" hidden="1">
      <c r="A191" s="124" t="s">
        <v>215</v>
      </c>
      <c r="B191" s="125"/>
      <c r="C191" s="125"/>
      <c r="D191" s="125"/>
      <c r="E191" s="126"/>
      <c r="F191" s="127">
        <f>+F165+F175+F185</f>
        <v>0</v>
      </c>
      <c r="G191" s="127">
        <f>+G165+G175+G185</f>
        <v>0</v>
      </c>
      <c r="H191" s="127">
        <f>+H165+H175+H185</f>
        <v>0</v>
      </c>
      <c r="I191" s="127" t="str">
        <f>IF(F191=0,"S/P",+H191/F191)</f>
        <v>S/P</v>
      </c>
    </row>
    <row r="192" spans="1:9" s="63" customFormat="1" ht="14.25" customHeight="1"/>
    <row r="193" spans="1:9" s="63" customFormat="1" ht="16.5">
      <c r="A193" s="124" t="s">
        <v>128</v>
      </c>
      <c r="B193" s="125"/>
      <c r="C193" s="125"/>
      <c r="D193" s="125"/>
      <c r="E193" s="126"/>
      <c r="F193" s="127" t="e">
        <f>+F163+F191</f>
        <v>#N/A</v>
      </c>
      <c r="G193" s="127">
        <f>+G163+G191</f>
        <v>0</v>
      </c>
      <c r="H193" s="127" t="e">
        <f>+H163+H191</f>
        <v>#N/A</v>
      </c>
      <c r="I193" s="127" t="e">
        <f>IF(F193=0,"S/P",+H193/F193)</f>
        <v>#N/A</v>
      </c>
    </row>
    <row r="194" spans="1:9" s="63" customFormat="1" ht="20.25" customHeight="1"/>
    <row r="195" spans="1:9" ht="18">
      <c r="A195" s="1"/>
      <c r="F195" s="43"/>
      <c r="G195" s="43"/>
      <c r="H195" s="43"/>
      <c r="I195" s="43"/>
    </row>
    <row r="196" spans="1:9">
      <c r="D196" s="349" t="s">
        <v>129</v>
      </c>
      <c r="F196" s="45" t="s">
        <v>0</v>
      </c>
      <c r="G196" s="45" t="s">
        <v>1</v>
      </c>
      <c r="H196" s="45" t="s">
        <v>2</v>
      </c>
      <c r="I196" s="45" t="s">
        <v>130</v>
      </c>
    </row>
    <row r="197" spans="1:9">
      <c r="D197" s="321" t="s">
        <v>131</v>
      </c>
      <c r="E197" s="322"/>
      <c r="F197" s="88">
        <f>+F2+F25+IF(F48&gt;0,F48,0)+F52+F83+F147+F153+IF(F157&gt;0,F157,0)+F165+IF(F185&gt;0,F185,0)</f>
        <v>0</v>
      </c>
      <c r="G197" s="88">
        <f>+G2+G25+IF(G48&gt;0,G48,0)+G52+G83+G147+G153+IF(G157&gt;0,G157,0)+G165+IF(G185&gt;0,G185,0)</f>
        <v>0</v>
      </c>
      <c r="H197" s="88">
        <f>+G197-E197</f>
        <v>0</v>
      </c>
      <c r="I197" s="151" t="str">
        <f>IF(F197=0,"S/P",+H197/F197)</f>
        <v>S/P</v>
      </c>
    </row>
    <row r="198" spans="1:9">
      <c r="D198" s="321" t="s">
        <v>132</v>
      </c>
      <c r="E198" s="322"/>
      <c r="F198" s="88" t="e">
        <f>-F38-IF(F48&lt;0,F48,0)-F56-F95-F103-F141-IF(F157&lt;0,F157,0)-F175-IF(F185&lt;0,F185,0)</f>
        <v>#N/A</v>
      </c>
      <c r="G198" s="88">
        <f>-G38-IF(G48&lt;0,G48,0)-G56-G95-G103-G141-IF(G157&lt;0,G157,0)-G175-IF(G185&lt;0,G185,0)</f>
        <v>0</v>
      </c>
      <c r="H198" s="88">
        <f t="shared" ref="H198:H199" si="14">+G198-E198</f>
        <v>0</v>
      </c>
      <c r="I198" s="151" t="e">
        <f t="shared" ref="I198:I199" si="15">IF(F198=0,"S/P",+H198/F198)</f>
        <v>#N/A</v>
      </c>
    </row>
    <row r="199" spans="1:9">
      <c r="D199" s="321" t="s">
        <v>133</v>
      </c>
      <c r="E199" s="322"/>
      <c r="F199" s="88" t="e">
        <f>F197-F198</f>
        <v>#N/A</v>
      </c>
      <c r="G199" s="88">
        <f>G197-G198</f>
        <v>0</v>
      </c>
      <c r="H199" s="88">
        <f t="shared" si="14"/>
        <v>0</v>
      </c>
      <c r="I199" s="151" t="e">
        <f t="shared" si="15"/>
        <v>#N/A</v>
      </c>
    </row>
  </sheetData>
  <mergeCells count="3">
    <mergeCell ref="D197:E197"/>
    <mergeCell ref="D198:E198"/>
    <mergeCell ref="D199:E199"/>
  </mergeCells>
  <conditionalFormatting sqref="F163:I163 F193:I193">
    <cfRule type="cellIs" dxfId="20" priority="7" stopIfTrue="1" operator="lessThan">
      <formula>0</formula>
    </cfRule>
  </conditionalFormatting>
  <conditionalFormatting sqref="A193">
    <cfRule type="expression" dxfId="19" priority="6" stopIfTrue="1">
      <formula>$F$193&lt;0</formula>
    </cfRule>
  </conditionalFormatting>
  <conditionalFormatting sqref="A163">
    <cfRule type="expression" dxfId="18" priority="5" stopIfTrue="1">
      <formula>$F$163&lt;0</formula>
    </cfRule>
  </conditionalFormatting>
  <conditionalFormatting sqref="F191:I191">
    <cfRule type="cellIs" dxfId="17" priority="4" stopIfTrue="1" operator="lessThan">
      <formula>0</formula>
    </cfRule>
  </conditionalFormatting>
  <conditionalFormatting sqref="A191">
    <cfRule type="expression" dxfId="16" priority="3" stopIfTrue="1">
      <formula>$F$163&lt;0</formula>
    </cfRule>
  </conditionalFormatting>
  <conditionalFormatting sqref="F193:I193">
    <cfRule type="cellIs" dxfId="15" priority="2" stopIfTrue="1" operator="lessThan">
      <formula>0</formula>
    </cfRule>
  </conditionalFormatting>
  <conditionalFormatting sqref="A193">
    <cfRule type="expression" dxfId="14" priority="1" stopIfTrue="1">
      <formula>$F$163&lt;0</formula>
    </cfRule>
  </conditionalFormatting>
  <pageMargins left="1.8503937007874016" right="0.31496062992125984" top="0.6692913385826772" bottom="0.55118110236220474" header="0.35433070866141736" footer="0.55118110236220474"/>
  <pageSetup paperSize="9" scale="55" orientation="portrait" r:id="rId1"/>
  <headerFooter alignWithMargins="0">
    <oddHeader>&amp;C&amp;20Presupuesto Centro 3
2.0XX</oddHeader>
    <oddFooter>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J199"/>
  <sheetViews>
    <sheetView workbookViewId="0">
      <selection activeCell="M74" sqref="M74"/>
    </sheetView>
  </sheetViews>
  <sheetFormatPr defaultColWidth="11.42578125" defaultRowHeight="15.75"/>
  <cols>
    <col min="4" max="4" width="13.7109375" customWidth="1"/>
    <col min="5" max="5" width="13.5703125" style="6" customWidth="1"/>
    <col min="6" max="6" width="19" style="5" customWidth="1"/>
    <col min="7" max="8" width="17.85546875" style="5" hidden="1" customWidth="1"/>
    <col min="9" max="9" width="9.85546875" style="5" hidden="1" customWidth="1"/>
    <col min="10" max="11" width="12.85546875" bestFit="1" customWidth="1"/>
  </cols>
  <sheetData>
    <row r="1" spans="1:10" ht="20.25" customHeight="1">
      <c r="A1" s="2"/>
      <c r="F1" s="45" t="s">
        <v>0</v>
      </c>
      <c r="G1" s="45" t="s">
        <v>1</v>
      </c>
      <c r="H1" s="45" t="s">
        <v>134</v>
      </c>
      <c r="I1" s="44" t="s">
        <v>3</v>
      </c>
    </row>
    <row r="2" spans="1:10" s="63" customFormat="1" ht="16.5">
      <c r="A2" s="58" t="s">
        <v>4</v>
      </c>
      <c r="B2" s="59"/>
      <c r="C2" s="59"/>
      <c r="D2" s="59"/>
      <c r="E2" s="60"/>
      <c r="F2" s="61">
        <f>+F6+F11+F4+F23</f>
        <v>0</v>
      </c>
      <c r="G2" s="61">
        <f>+G4+G6+G9+G11+G23</f>
        <v>0</v>
      </c>
      <c r="H2" s="61">
        <f>+G2-F2</f>
        <v>0</v>
      </c>
      <c r="I2" s="62" t="str">
        <f>IF(F2=0,"S/P",+H2/F2)</f>
        <v>S/P</v>
      </c>
    </row>
    <row r="3" spans="1:10" ht="10.5" customHeight="1">
      <c r="E3"/>
      <c r="F3" s="43"/>
      <c r="G3" s="46"/>
      <c r="H3" s="46"/>
      <c r="I3" s="47"/>
    </row>
    <row r="4" spans="1:10" s="12" customFormat="1" ht="12" hidden="1" customHeight="1">
      <c r="A4" s="341" t="s">
        <v>5</v>
      </c>
      <c r="B4" s="341"/>
      <c r="C4" s="341"/>
      <c r="D4" s="341"/>
      <c r="E4" s="342"/>
      <c r="F4" s="343"/>
      <c r="G4" s="343"/>
      <c r="H4" s="343">
        <f>+G4-F4</f>
        <v>0</v>
      </c>
      <c r="I4" s="344" t="str">
        <f>IF(F4=0,"S/P",+H4/F4)</f>
        <v>S/P</v>
      </c>
      <c r="J4" s="170"/>
    </row>
    <row r="5" spans="1:10" ht="15" hidden="1" customHeight="1">
      <c r="B5" s="25" t="s">
        <v>216</v>
      </c>
      <c r="E5" s="46"/>
      <c r="F5" s="43"/>
      <c r="G5" s="46"/>
      <c r="H5" s="46"/>
      <c r="I5" s="47"/>
    </row>
    <row r="6" spans="1:10" s="12" customFormat="1" ht="12.75">
      <c r="A6" s="341" t="s">
        <v>7</v>
      </c>
      <c r="B6" s="341"/>
      <c r="C6" s="341"/>
      <c r="D6" s="341"/>
      <c r="E6" s="342"/>
      <c r="F6" s="343">
        <f>+SUM(F7:F8)</f>
        <v>0</v>
      </c>
      <c r="G6" s="343">
        <f t="shared" ref="G6:H6" si="0">+SUM(G7:G8)</f>
        <v>0</v>
      </c>
      <c r="H6" s="343">
        <f t="shared" si="0"/>
        <v>0</v>
      </c>
      <c r="I6" s="344" t="str">
        <f>IF(F6=0,"S/P",+H6/F6)</f>
        <v>S/P</v>
      </c>
      <c r="J6" s="170"/>
    </row>
    <row r="7" spans="1:10" ht="15" customHeight="1">
      <c r="B7" s="25" t="s">
        <v>135</v>
      </c>
      <c r="E7" s="40"/>
      <c r="F7" s="156">
        <f>+'Anexo Ingresos'!I45</f>
        <v>0</v>
      </c>
      <c r="G7" s="40"/>
      <c r="H7" s="40">
        <f>+G7-F7</f>
        <v>0</v>
      </c>
      <c r="I7" s="148" t="str">
        <f>IF(E7=0,"S/P",+H7/E7)</f>
        <v>S/P</v>
      </c>
    </row>
    <row r="8" spans="1:10" ht="15" customHeight="1">
      <c r="B8" s="25" t="s">
        <v>136</v>
      </c>
      <c r="E8" s="40"/>
      <c r="F8" s="156">
        <f>+'Anexo Ingresos'!K45</f>
        <v>0</v>
      </c>
      <c r="G8" s="40"/>
      <c r="H8" s="40">
        <f>+G8-F8</f>
        <v>0</v>
      </c>
      <c r="I8" s="148" t="str">
        <f>IF(E8=0,"S/P",+H8/E8)</f>
        <v>S/P</v>
      </c>
    </row>
    <row r="9" spans="1:10" s="12" customFormat="1" ht="12.75" hidden="1">
      <c r="A9" s="341" t="s">
        <v>9</v>
      </c>
      <c r="B9" s="341"/>
      <c r="C9" s="341"/>
      <c r="D9" s="341"/>
      <c r="E9" s="342"/>
      <c r="F9" s="343">
        <f>+'Anexo Ingresos'!I57</f>
        <v>0</v>
      </c>
      <c r="G9" s="343"/>
      <c r="H9" s="343">
        <f>+G9-F9</f>
        <v>0</v>
      </c>
      <c r="I9" s="344" t="str">
        <f>IF(F9=0,"S/P",+H9/F9)</f>
        <v>S/P</v>
      </c>
      <c r="J9" s="170"/>
    </row>
    <row r="10" spans="1:10" ht="15" hidden="1" customHeight="1">
      <c r="B10" s="25" t="s">
        <v>10</v>
      </c>
      <c r="E10" s="46"/>
      <c r="F10" s="43"/>
      <c r="G10" s="46"/>
      <c r="H10" s="46"/>
      <c r="I10" s="47"/>
    </row>
    <row r="11" spans="1:10" s="12" customFormat="1" ht="12.75">
      <c r="A11" s="341" t="s">
        <v>11</v>
      </c>
      <c r="B11" s="341"/>
      <c r="C11" s="341"/>
      <c r="D11" s="341"/>
      <c r="E11" s="342"/>
      <c r="F11" s="343">
        <f>+SUM(F12:F22)</f>
        <v>0</v>
      </c>
      <c r="G11" s="343">
        <f>+SUM(G12:G22)</f>
        <v>0</v>
      </c>
      <c r="H11" s="343">
        <f>+SUM(H12:H22)</f>
        <v>0</v>
      </c>
      <c r="I11" s="344" t="str">
        <f>IF(F11=0,"S/P",+H11/F11)</f>
        <v>S/P</v>
      </c>
      <c r="J11" s="345"/>
    </row>
    <row r="12" spans="1:10" s="64" customFormat="1" ht="15" customHeight="1">
      <c r="A12" s="15"/>
      <c r="B12" s="25">
        <f>+'Anexo Ingresos'!B64</f>
        <v>0</v>
      </c>
      <c r="C12" s="15"/>
      <c r="D12" s="15"/>
      <c r="E12" s="40"/>
      <c r="F12" s="156">
        <f>+'Anexo Ingresos'!I64</f>
        <v>0</v>
      </c>
      <c r="G12" s="156"/>
      <c r="H12" s="40">
        <f t="shared" ref="H12:H22" si="1">+G12-F12</f>
        <v>0</v>
      </c>
      <c r="I12" s="148" t="str">
        <f t="shared" ref="I12:I22" si="2">IF(E12=0,"S/P",+H12/E12)</f>
        <v>S/P</v>
      </c>
      <c r="J12" s="15"/>
    </row>
    <row r="13" spans="1:10" s="64" customFormat="1" ht="15" customHeight="1">
      <c r="A13" s="15"/>
      <c r="B13" s="25">
        <f>+'Anexo Ingresos'!B65</f>
        <v>0</v>
      </c>
      <c r="C13" s="15"/>
      <c r="D13" s="15"/>
      <c r="E13" s="40"/>
      <c r="F13" s="156">
        <f>+'Anexo Ingresos'!I65</f>
        <v>0</v>
      </c>
      <c r="G13" s="156"/>
      <c r="H13" s="40">
        <f t="shared" si="1"/>
        <v>0</v>
      </c>
      <c r="I13" s="148" t="str">
        <f t="shared" si="2"/>
        <v>S/P</v>
      </c>
      <c r="J13" s="15"/>
    </row>
    <row r="14" spans="1:10" s="64" customFormat="1" ht="15" customHeight="1">
      <c r="A14" s="15"/>
      <c r="B14" s="25">
        <f>+'Anexo Ingresos'!B66</f>
        <v>0</v>
      </c>
      <c r="C14" s="15"/>
      <c r="D14" s="15"/>
      <c r="E14" s="40"/>
      <c r="F14" s="156">
        <f>+'Anexo Ingresos'!I66</f>
        <v>0</v>
      </c>
      <c r="G14" s="156"/>
      <c r="H14" s="40">
        <f t="shared" si="1"/>
        <v>0</v>
      </c>
      <c r="I14" s="148" t="str">
        <f t="shared" si="2"/>
        <v>S/P</v>
      </c>
      <c r="J14" s="15"/>
    </row>
    <row r="15" spans="1:10" s="64" customFormat="1" ht="15" customHeight="1">
      <c r="A15" s="15"/>
      <c r="B15" s="25">
        <f>+'Anexo Ingresos'!B67</f>
        <v>0</v>
      </c>
      <c r="C15" s="15"/>
      <c r="D15" s="15"/>
      <c r="E15" s="40"/>
      <c r="F15" s="156">
        <f>+'Anexo Ingresos'!I67</f>
        <v>0</v>
      </c>
      <c r="G15" s="156"/>
      <c r="H15" s="40">
        <f t="shared" ref="H15:H18" si="3">+G15-F15</f>
        <v>0</v>
      </c>
      <c r="I15" s="148" t="str">
        <f t="shared" ref="I15:I18" si="4">IF(E15=0,"S/P",+H15/E15)</f>
        <v>S/P</v>
      </c>
      <c r="J15" s="15"/>
    </row>
    <row r="16" spans="1:10" s="64" customFormat="1" ht="15" customHeight="1">
      <c r="A16" s="15"/>
      <c r="B16" s="25">
        <f>+'Anexo Ingresos'!B68</f>
        <v>0</v>
      </c>
      <c r="C16" s="15"/>
      <c r="D16" s="15"/>
      <c r="E16" s="40"/>
      <c r="F16" s="156">
        <f>+'Anexo Ingresos'!I68</f>
        <v>0</v>
      </c>
      <c r="G16" s="156"/>
      <c r="H16" s="40">
        <f t="shared" si="3"/>
        <v>0</v>
      </c>
      <c r="I16" s="148" t="str">
        <f t="shared" si="4"/>
        <v>S/P</v>
      </c>
      <c r="J16" s="15"/>
    </row>
    <row r="17" spans="1:9" s="64" customFormat="1" ht="15" hidden="1" customHeight="1">
      <c r="A17" s="15"/>
      <c r="B17" s="25" t="str">
        <f>+'Anexo Ingresos'!B69</f>
        <v>Administración 6</v>
      </c>
      <c r="C17" s="15"/>
      <c r="D17" s="15"/>
      <c r="E17" s="40"/>
      <c r="F17" s="156">
        <f>+'Anexo Ingresos'!I69</f>
        <v>0</v>
      </c>
      <c r="G17" s="156"/>
      <c r="H17" s="40">
        <f t="shared" si="3"/>
        <v>0</v>
      </c>
      <c r="I17" s="148" t="str">
        <f t="shared" si="4"/>
        <v>S/P</v>
      </c>
    </row>
    <row r="18" spans="1:9" s="64" customFormat="1" ht="15" hidden="1" customHeight="1">
      <c r="A18" s="15"/>
      <c r="B18" s="25" t="str">
        <f>+'Anexo Ingresos'!B73</f>
        <v>Donativos generales</v>
      </c>
      <c r="C18" s="15"/>
      <c r="D18" s="15"/>
      <c r="E18" s="40"/>
      <c r="F18" s="156">
        <f>+'Anexo Ingresos'!I73</f>
        <v>0</v>
      </c>
      <c r="G18" s="156"/>
      <c r="H18" s="40">
        <f t="shared" si="3"/>
        <v>0</v>
      </c>
      <c r="I18" s="148" t="str">
        <f t="shared" si="4"/>
        <v>S/P</v>
      </c>
    </row>
    <row r="19" spans="1:9" s="64" customFormat="1" ht="15" customHeight="1">
      <c r="A19" s="15"/>
      <c r="B19" s="25" t="str">
        <f>+'Anexo Ingresos'!B74</f>
        <v>Fundación José Otero</v>
      </c>
      <c r="C19" s="15"/>
      <c r="D19" s="15"/>
      <c r="E19" s="40"/>
      <c r="F19" s="156">
        <f>+'Anexo Ingresos'!I74</f>
        <v>0</v>
      </c>
      <c r="G19" s="156"/>
      <c r="H19" s="40">
        <f t="shared" si="1"/>
        <v>0</v>
      </c>
      <c r="I19" s="148" t="str">
        <f t="shared" si="2"/>
        <v>S/P</v>
      </c>
    </row>
    <row r="20" spans="1:9" s="64" customFormat="1" ht="15" hidden="1" customHeight="1">
      <c r="A20" s="15"/>
      <c r="B20" s="25" t="str">
        <f>+'Anexo Ingresos'!B75</f>
        <v>Fundación La Caixa</v>
      </c>
      <c r="C20" s="15"/>
      <c r="D20" s="15"/>
      <c r="E20" s="40"/>
      <c r="F20" s="156">
        <f>+'Anexo Ingresos'!I75</f>
        <v>0</v>
      </c>
      <c r="G20" s="156"/>
      <c r="H20" s="40">
        <f t="shared" si="1"/>
        <v>0</v>
      </c>
      <c r="I20" s="148" t="str">
        <f t="shared" si="2"/>
        <v>S/P</v>
      </c>
    </row>
    <row r="21" spans="1:9" s="64" customFormat="1" ht="15" hidden="1" customHeight="1">
      <c r="A21" s="15"/>
      <c r="B21" s="25" t="str">
        <f>+'Anexo Ingresos'!B76</f>
        <v>Colegio de Abogados</v>
      </c>
      <c r="C21" s="15"/>
      <c r="D21" s="15"/>
      <c r="E21" s="40"/>
      <c r="F21" s="156">
        <f>+'Anexo Ingresos'!I76</f>
        <v>0</v>
      </c>
      <c r="G21" s="156"/>
      <c r="H21" s="40">
        <f t="shared" si="1"/>
        <v>0</v>
      </c>
      <c r="I21" s="148" t="str">
        <f t="shared" si="2"/>
        <v>S/P</v>
      </c>
    </row>
    <row r="22" spans="1:9" ht="14.25" hidden="1" customHeight="1">
      <c r="B22" s="25" t="str">
        <f>+'Anexo Ingresos'!B77</f>
        <v>Fund amigo</v>
      </c>
      <c r="E22" s="149"/>
      <c r="F22" s="156">
        <f>+'Anexo Ingresos'!I77</f>
        <v>0</v>
      </c>
      <c r="G22" s="156"/>
      <c r="H22" s="40">
        <f t="shared" si="1"/>
        <v>0</v>
      </c>
      <c r="I22" s="148" t="str">
        <f t="shared" si="2"/>
        <v>S/P</v>
      </c>
    </row>
    <row r="23" spans="1:9" s="12" customFormat="1" ht="12.75">
      <c r="A23" s="341" t="s">
        <v>13</v>
      </c>
      <c r="B23" s="341"/>
      <c r="C23" s="341"/>
      <c r="D23" s="341"/>
      <c r="E23" s="342"/>
      <c r="F23" s="343"/>
      <c r="G23" s="343"/>
      <c r="H23" s="343">
        <f>+G23-F23</f>
        <v>0</v>
      </c>
      <c r="I23" s="344" t="str">
        <f>IF(F23=0,"S/P",+H23/F23)</f>
        <v>S/P</v>
      </c>
    </row>
    <row r="24" spans="1:9" s="64" customFormat="1" ht="15" customHeight="1">
      <c r="A24" s="15"/>
      <c r="B24" s="170" t="s">
        <v>14</v>
      </c>
      <c r="C24" s="15"/>
      <c r="D24" s="15"/>
      <c r="E24" s="46"/>
      <c r="F24" s="153"/>
      <c r="G24" s="46"/>
      <c r="H24" s="46"/>
      <c r="I24" s="47"/>
    </row>
    <row r="25" spans="1:9" s="63" customFormat="1" ht="16.5">
      <c r="A25" s="58" t="s">
        <v>217</v>
      </c>
      <c r="B25" s="59"/>
      <c r="C25" s="59"/>
      <c r="D25" s="59"/>
      <c r="E25" s="60"/>
      <c r="F25" s="61">
        <f>+F27+F33</f>
        <v>0</v>
      </c>
      <c r="G25" s="61">
        <f>+G27+G33</f>
        <v>0</v>
      </c>
      <c r="H25" s="61">
        <f>+G25-F25</f>
        <v>0</v>
      </c>
      <c r="I25" s="62" t="str">
        <f>IF(F25=0,"S/P",+H25/F25)</f>
        <v>S/P</v>
      </c>
    </row>
    <row r="26" spans="1:9" ht="10.5" customHeight="1">
      <c r="E26"/>
      <c r="F26" s="43"/>
      <c r="G26" s="46"/>
      <c r="H26" s="46"/>
      <c r="I26" s="47"/>
    </row>
    <row r="27" spans="1:9" s="12" customFormat="1" ht="12.75">
      <c r="A27" s="341" t="s">
        <v>16</v>
      </c>
      <c r="B27" s="341"/>
      <c r="C27" s="341"/>
      <c r="D27" s="341"/>
      <c r="E27" s="342"/>
      <c r="F27" s="343">
        <f>+SUM(E28:E32)</f>
        <v>0</v>
      </c>
      <c r="G27" s="343">
        <f t="shared" ref="G27:H27" si="5">+SUM(F28:F32)</f>
        <v>0</v>
      </c>
      <c r="H27" s="343">
        <f t="shared" si="5"/>
        <v>0</v>
      </c>
      <c r="I27" s="344" t="str">
        <f>IF(F27=0,"S/P",+H27/F27)</f>
        <v>S/P</v>
      </c>
    </row>
    <row r="28" spans="1:9" ht="15" customHeight="1">
      <c r="B28" s="25">
        <f>+'Anexo Ingresos'!B6</f>
        <v>0</v>
      </c>
      <c r="E28" s="40"/>
      <c r="F28" s="156">
        <f>+'Anexo Ingresos'!I6</f>
        <v>0</v>
      </c>
      <c r="G28" s="40"/>
      <c r="H28" s="40">
        <f>+G28-F28</f>
        <v>0</v>
      </c>
      <c r="I28" s="148" t="str">
        <f>IF(E28=0,"S/P",+G28/E28)</f>
        <v>S/P</v>
      </c>
    </row>
    <row r="29" spans="1:9" ht="15" customHeight="1">
      <c r="B29" s="25">
        <f>+'Anexo Ingresos'!B7</f>
        <v>0</v>
      </c>
      <c r="E29" s="40"/>
      <c r="F29" s="156">
        <f>+'Anexo Ingresos'!I7</f>
        <v>0</v>
      </c>
      <c r="G29" s="40"/>
      <c r="H29" s="40">
        <f>+G29-F29</f>
        <v>0</v>
      </c>
      <c r="I29" s="148" t="str">
        <f>IF(E29=0,"S/P",+G29/E29)</f>
        <v>S/P</v>
      </c>
    </row>
    <row r="30" spans="1:9" ht="15" customHeight="1">
      <c r="B30" s="25">
        <f>+'Anexo Ingresos'!B8</f>
        <v>0</v>
      </c>
      <c r="E30" s="40"/>
      <c r="F30" s="156">
        <f>+'Anexo Ingresos'!I8</f>
        <v>0</v>
      </c>
      <c r="G30" s="40"/>
      <c r="H30" s="40">
        <f>+G30-F30</f>
        <v>0</v>
      </c>
      <c r="I30" s="148" t="str">
        <f>IF(E30=0,"S/P",+G30/E30)</f>
        <v>S/P</v>
      </c>
    </row>
    <row r="31" spans="1:9" ht="15" customHeight="1">
      <c r="B31" s="25">
        <f>+'Anexo Ingresos'!B9</f>
        <v>0</v>
      </c>
      <c r="E31" s="40"/>
      <c r="F31" s="156">
        <f>+'Anexo Ingresos'!I9</f>
        <v>0</v>
      </c>
      <c r="G31" s="40"/>
      <c r="H31" s="40"/>
      <c r="I31" s="148"/>
    </row>
    <row r="32" spans="1:9" ht="15" customHeight="1">
      <c r="B32" s="25">
        <f>+'Anexo Ingresos'!B10</f>
        <v>0</v>
      </c>
      <c r="E32" s="40"/>
      <c r="F32" s="156">
        <f>+'Anexo Ingresos'!I10</f>
        <v>0</v>
      </c>
      <c r="G32" s="40"/>
      <c r="H32" s="40">
        <f>+G32-F32</f>
        <v>0</v>
      </c>
      <c r="I32" s="148" t="str">
        <f>IF(E32=0,"S/P",+G32/E32)</f>
        <v>S/P</v>
      </c>
    </row>
    <row r="33" spans="1:9" s="12" customFormat="1" ht="12.75">
      <c r="A33" s="341" t="s">
        <v>18</v>
      </c>
      <c r="B33" s="341"/>
      <c r="C33" s="341"/>
      <c r="D33" s="341"/>
      <c r="E33" s="342"/>
      <c r="F33" s="343">
        <f>+SUM(E34:E37)</f>
        <v>0</v>
      </c>
      <c r="G33" s="343">
        <f t="shared" ref="G33:H33" si="6">+SUM(F34:F37)</f>
        <v>0</v>
      </c>
      <c r="H33" s="343">
        <f t="shared" si="6"/>
        <v>0</v>
      </c>
      <c r="I33" s="344" t="str">
        <f>IF(F33=0,"S/P",+H33/F33)</f>
        <v>S/P</v>
      </c>
    </row>
    <row r="34" spans="1:9" ht="15" customHeight="1">
      <c r="B34" s="25">
        <f>+'Anexo Ingresos'!B18</f>
        <v>0</v>
      </c>
      <c r="E34" s="40"/>
      <c r="F34" s="156">
        <f>+'Anexo Ingresos'!I18</f>
        <v>0</v>
      </c>
      <c r="G34" s="40"/>
      <c r="H34" s="40">
        <f t="shared" ref="H34:H37" si="7">+G34-F34</f>
        <v>0</v>
      </c>
      <c r="I34" s="148" t="str">
        <f>IF(E34=0,"S/P",+G34/E34)</f>
        <v>S/P</v>
      </c>
    </row>
    <row r="35" spans="1:9" ht="15" customHeight="1">
      <c r="B35" s="25">
        <f>+'Anexo Ingresos'!B19</f>
        <v>0</v>
      </c>
      <c r="E35" s="40"/>
      <c r="F35" s="156">
        <f>+'Anexo Ingresos'!I19</f>
        <v>0</v>
      </c>
      <c r="G35" s="40"/>
      <c r="H35" s="40">
        <f t="shared" si="7"/>
        <v>0</v>
      </c>
      <c r="I35" s="148" t="str">
        <f>IF(E35=0,"S/P",+G35/E35)</f>
        <v>S/P</v>
      </c>
    </row>
    <row r="36" spans="1:9" ht="15" customHeight="1">
      <c r="B36" s="25">
        <f>+'Anexo Ingresos'!B20</f>
        <v>0</v>
      </c>
      <c r="E36" s="40"/>
      <c r="F36" s="156">
        <f>+'Anexo Ingresos'!I20</f>
        <v>0</v>
      </c>
      <c r="G36" s="40"/>
      <c r="H36" s="40">
        <f t="shared" si="7"/>
        <v>0</v>
      </c>
      <c r="I36" s="148" t="str">
        <f>IF(E36=0,"S/P",+G36/E36)</f>
        <v>S/P</v>
      </c>
    </row>
    <row r="37" spans="1:9" ht="15" customHeight="1">
      <c r="B37" s="25">
        <f>+'Anexo Ingresos'!B22</f>
        <v>0</v>
      </c>
      <c r="E37" s="40"/>
      <c r="F37" s="156">
        <f>+'Anexo Ingresos'!I22</f>
        <v>0</v>
      </c>
      <c r="G37" s="40"/>
      <c r="H37" s="40">
        <f t="shared" si="7"/>
        <v>0</v>
      </c>
      <c r="I37" s="148" t="str">
        <f>IF(E37=0,"S/P",+G37/E37)</f>
        <v>S/P</v>
      </c>
    </row>
    <row r="38" spans="1:9" s="63" customFormat="1" ht="16.5">
      <c r="A38" s="65" t="s">
        <v>20</v>
      </c>
      <c r="B38" s="66"/>
      <c r="C38" s="66"/>
      <c r="D38" s="66"/>
      <c r="E38" s="67"/>
      <c r="F38" s="68">
        <f>+SUM(F40:F47)</f>
        <v>0</v>
      </c>
      <c r="G38" s="68">
        <f>+SUM(G39:G47)</f>
        <v>0</v>
      </c>
      <c r="H38" s="68">
        <f>+SUM(H39:H47)</f>
        <v>0</v>
      </c>
      <c r="I38" s="69" t="str">
        <f>IF(F38=0,"S/P",+H38/F38)</f>
        <v>S/P</v>
      </c>
    </row>
    <row r="39" spans="1:9" s="63" customFormat="1" ht="9.75" customHeight="1"/>
    <row r="40" spans="1:9" s="12" customFormat="1" ht="12.75" hidden="1">
      <c r="A40" s="70" t="s">
        <v>21</v>
      </c>
      <c r="B40" s="70"/>
      <c r="C40" s="70"/>
      <c r="D40" s="70"/>
      <c r="E40" s="71"/>
      <c r="F40" s="72">
        <f>-'Anexo Gastos '!I199-'Anexo Gastos '!I205-'Anexo Gastos '!I211-'Anexo Gastos '!I217</f>
        <v>0</v>
      </c>
      <c r="G40" s="72"/>
      <c r="H40" s="72">
        <f>+G40-F40</f>
        <v>0</v>
      </c>
      <c r="I40" s="73" t="str">
        <f>IF(F40=0,"S/P",+H40/F40)</f>
        <v>S/P</v>
      </c>
    </row>
    <row r="41" spans="1:9" ht="12.75" hidden="1" customHeight="1">
      <c r="A41" s="74"/>
      <c r="B41" s="75" t="s">
        <v>22</v>
      </c>
      <c r="C41" s="74"/>
      <c r="D41" s="74"/>
      <c r="E41" s="76"/>
      <c r="F41" s="77"/>
      <c r="G41" s="78"/>
      <c r="H41" s="78"/>
      <c r="I41" s="78"/>
    </row>
    <row r="42" spans="1:9" s="12" customFormat="1" ht="12.75" hidden="1">
      <c r="A42" s="70" t="s">
        <v>23</v>
      </c>
      <c r="B42" s="70"/>
      <c r="C42" s="70"/>
      <c r="D42" s="70"/>
      <c r="E42" s="71"/>
      <c r="F42" s="72">
        <f>-'Anexo Gastos '!I227-'Anexo Gastos '!I233-'Anexo Gastos '!I239-'Anexo Gastos '!I245</f>
        <v>0</v>
      </c>
      <c r="G42" s="72"/>
      <c r="H42" s="72">
        <f>+G42-F42</f>
        <v>0</v>
      </c>
      <c r="I42" s="73" t="str">
        <f>IF(F42=0,"S/P",+H42/F42)</f>
        <v>S/P</v>
      </c>
    </row>
    <row r="43" spans="1:9" ht="12.75" hidden="1" customHeight="1">
      <c r="A43" s="74"/>
      <c r="B43" s="75" t="s">
        <v>24</v>
      </c>
      <c r="C43" s="74"/>
      <c r="D43" s="74"/>
      <c r="E43" s="76"/>
      <c r="F43" s="77"/>
      <c r="G43" s="78"/>
      <c r="H43" s="78"/>
      <c r="I43" s="78"/>
    </row>
    <row r="44" spans="1:9" s="12" customFormat="1" ht="12.75">
      <c r="A44" s="70" t="s">
        <v>25</v>
      </c>
      <c r="B44" s="70"/>
      <c r="C44" s="70"/>
      <c r="D44" s="70"/>
      <c r="E44" s="71"/>
      <c r="F44" s="72">
        <f>-'Anexo Gastos '!I257</f>
        <v>0</v>
      </c>
      <c r="G44" s="72"/>
      <c r="H44" s="72">
        <f>+G44-F44</f>
        <v>0</v>
      </c>
      <c r="I44" s="73" t="str">
        <f>IF(F44=0,"S/P",+H44/F44)</f>
        <v>S/P</v>
      </c>
    </row>
    <row r="45" spans="1:9" ht="12.75" customHeight="1">
      <c r="A45" s="74"/>
      <c r="B45" s="75" t="s">
        <v>26</v>
      </c>
      <c r="C45" s="74"/>
      <c r="D45" s="74"/>
      <c r="E45" s="76"/>
      <c r="F45" s="77"/>
      <c r="G45" s="78"/>
      <c r="H45" s="78"/>
      <c r="I45" s="78"/>
    </row>
    <row r="46" spans="1:9" s="12" customFormat="1" ht="12.75" hidden="1">
      <c r="A46" s="70" t="s">
        <v>27</v>
      </c>
      <c r="B46" s="70"/>
      <c r="C46" s="70"/>
      <c r="D46" s="70"/>
      <c r="E46" s="71"/>
      <c r="F46" s="72">
        <f>-'Anexo Gastos '!I269</f>
        <v>0</v>
      </c>
      <c r="G46" s="72"/>
      <c r="H46" s="72">
        <f>+G46-F46</f>
        <v>0</v>
      </c>
      <c r="I46" s="73" t="str">
        <f>IF(F46=0,"S/P",+H46/F46)</f>
        <v>S/P</v>
      </c>
    </row>
    <row r="47" spans="1:9" ht="12.75" hidden="1" customHeight="1">
      <c r="A47" s="74"/>
      <c r="B47" s="75" t="s">
        <v>28</v>
      </c>
      <c r="C47" s="74"/>
      <c r="D47" s="74"/>
      <c r="E47" s="76"/>
      <c r="F47" s="77"/>
      <c r="G47" s="78"/>
      <c r="H47" s="78"/>
      <c r="I47" s="78"/>
    </row>
    <row r="48" spans="1:9" s="63" customFormat="1" ht="16.5" hidden="1">
      <c r="A48" s="108" t="s">
        <v>29</v>
      </c>
      <c r="B48" s="109"/>
      <c r="C48" s="109"/>
      <c r="D48" s="109"/>
      <c r="E48" s="110"/>
      <c r="F48" s="111">
        <f>+F50</f>
        <v>0</v>
      </c>
      <c r="G48" s="111">
        <f>+G50</f>
        <v>0</v>
      </c>
      <c r="H48" s="111">
        <f>+G48-F48</f>
        <v>0</v>
      </c>
      <c r="I48" s="143" t="str">
        <f>IF(F48=0,"S/P",+H48/F48)</f>
        <v>S/P</v>
      </c>
    </row>
    <row r="49" spans="1:9" s="63" customFormat="1" ht="9.75" hidden="1" customHeight="1">
      <c r="A49" s="112"/>
      <c r="B49" s="112"/>
      <c r="C49" s="112"/>
      <c r="D49" s="112"/>
      <c r="E49" s="112"/>
      <c r="F49" s="112"/>
      <c r="G49" s="112"/>
      <c r="H49" s="112"/>
      <c r="I49" s="112"/>
    </row>
    <row r="50" spans="1:9" s="12" customFormat="1" ht="12.75" hidden="1">
      <c r="A50" s="113" t="s">
        <v>30</v>
      </c>
      <c r="B50" s="113"/>
      <c r="C50" s="113"/>
      <c r="D50" s="113"/>
      <c r="E50" s="114"/>
      <c r="F50" s="115"/>
      <c r="G50" s="115"/>
      <c r="H50" s="115">
        <f>+G50-F50</f>
        <v>0</v>
      </c>
      <c r="I50" s="144" t="str">
        <f>IF(F50=0,"S/P",+H50/F50)</f>
        <v>S/P</v>
      </c>
    </row>
    <row r="51" spans="1:9" ht="12.75" hidden="1" customHeight="1">
      <c r="A51" s="116"/>
      <c r="B51" s="117" t="s">
        <v>31</v>
      </c>
      <c r="C51" s="116"/>
      <c r="D51" s="116"/>
      <c r="E51" s="118"/>
      <c r="F51" s="119"/>
      <c r="G51" s="78"/>
      <c r="H51" s="78"/>
      <c r="I51" s="78"/>
    </row>
    <row r="52" spans="1:9" s="63" customFormat="1" ht="16.5" hidden="1">
      <c r="A52" s="58" t="s">
        <v>174</v>
      </c>
      <c r="B52" s="59"/>
      <c r="C52" s="59"/>
      <c r="D52" s="59"/>
      <c r="E52" s="60"/>
      <c r="F52" s="61">
        <f>+F54</f>
        <v>0</v>
      </c>
      <c r="G52" s="61">
        <f>+G54</f>
        <v>0</v>
      </c>
      <c r="H52" s="61">
        <f>+H54</f>
        <v>0</v>
      </c>
      <c r="I52" s="62" t="str">
        <f>IF(F52=0,"S/P",+H52/F52)</f>
        <v>S/P</v>
      </c>
    </row>
    <row r="53" spans="1:9" s="63" customFormat="1" ht="9.75" hidden="1" customHeight="1"/>
    <row r="54" spans="1:9" s="12" customFormat="1" ht="12.75" hidden="1">
      <c r="A54" s="341" t="s">
        <v>33</v>
      </c>
      <c r="B54" s="341"/>
      <c r="C54" s="341"/>
      <c r="D54" s="341"/>
      <c r="E54" s="342"/>
      <c r="F54" s="343"/>
      <c r="G54" s="343"/>
      <c r="H54" s="343">
        <f>+G54-F54</f>
        <v>0</v>
      </c>
      <c r="I54" s="344" t="str">
        <f>IF(F54=0,"S/P",+H54/F54)</f>
        <v>S/P</v>
      </c>
    </row>
    <row r="55" spans="1:9" ht="12.75" hidden="1" customHeight="1">
      <c r="A55" s="170"/>
      <c r="B55" s="25" t="s">
        <v>34</v>
      </c>
      <c r="C55" s="170"/>
      <c r="D55" s="170"/>
      <c r="E55" s="348"/>
      <c r="F55" s="43"/>
      <c r="G55" s="120"/>
      <c r="H55" s="120"/>
      <c r="I55" s="120"/>
    </row>
    <row r="56" spans="1:9" s="63" customFormat="1" ht="16.5">
      <c r="A56" s="65" t="s">
        <v>218</v>
      </c>
      <c r="B56" s="66"/>
      <c r="C56" s="66"/>
      <c r="D56" s="66"/>
      <c r="E56" s="67"/>
      <c r="F56" s="68">
        <f>+F58+F64+F70+F77</f>
        <v>0</v>
      </c>
      <c r="G56" s="68">
        <f>+SUM(G57:G108)</f>
        <v>0</v>
      </c>
      <c r="H56" s="68" t="e">
        <f>+SUM(H57:H108)</f>
        <v>#N/A</v>
      </c>
      <c r="I56" s="69" t="str">
        <f>IF(F56=0,"S/P",+H56/F56)</f>
        <v>S/P</v>
      </c>
    </row>
    <row r="57" spans="1:9" s="63" customFormat="1" ht="9.75" customHeight="1"/>
    <row r="58" spans="1:9" s="12" customFormat="1" ht="12.75">
      <c r="A58" s="70" t="s">
        <v>36</v>
      </c>
      <c r="B58" s="70"/>
      <c r="C58" s="70"/>
      <c r="D58" s="70"/>
      <c r="E58" s="71"/>
      <c r="F58" s="72">
        <f>+SUM(F59:F63)</f>
        <v>0</v>
      </c>
      <c r="G58" s="72">
        <f>+SUM(G59:G63)</f>
        <v>0</v>
      </c>
      <c r="H58" s="72">
        <f>+SUM(H59:H63)</f>
        <v>0</v>
      </c>
      <c r="I58" s="73" t="str">
        <f>IF(F58=0,"S/P",+H58/F58)</f>
        <v>S/P</v>
      </c>
    </row>
    <row r="59" spans="1:9" s="15" customFormat="1" ht="12.75" customHeight="1">
      <c r="A59" s="79"/>
      <c r="B59" s="75" t="str">
        <f>+'Anexo Gastos '!B6</f>
        <v>Material Actividades</v>
      </c>
      <c r="C59" s="79"/>
      <c r="D59" s="79"/>
      <c r="E59" s="150"/>
      <c r="F59" s="146">
        <f>-'Anexo Gastos '!I6</f>
        <v>0</v>
      </c>
      <c r="G59" s="146"/>
      <c r="H59" s="146">
        <f>+G59-F59</f>
        <v>0</v>
      </c>
      <c r="I59" s="147" t="str">
        <f>IF(E59=0,"S/P",+H59/E59)</f>
        <v>S/P</v>
      </c>
    </row>
    <row r="60" spans="1:9" s="15" customFormat="1" ht="12.75" customHeight="1">
      <c r="A60" s="79"/>
      <c r="B60" s="75" t="str">
        <f>+'Anexo Gastos '!B7</f>
        <v>Viveres</v>
      </c>
      <c r="C60" s="79"/>
      <c r="D60" s="79"/>
      <c r="E60" s="150"/>
      <c r="F60" s="146">
        <f>-'Anexo Gastos '!I7</f>
        <v>0</v>
      </c>
      <c r="G60" s="146"/>
      <c r="H60" s="146">
        <f t="shared" ref="H60:H81" si="8">+G60-F60</f>
        <v>0</v>
      </c>
      <c r="I60" s="147" t="str">
        <f t="shared" ref="I60:I63" si="9">IF(E60=0,"S/P",+H60/E60)</f>
        <v>S/P</v>
      </c>
    </row>
    <row r="61" spans="1:9" s="15" customFormat="1" ht="12.75" customHeight="1">
      <c r="A61" s="79"/>
      <c r="B61" s="75" t="str">
        <f>+'Anexo Gastos '!B8</f>
        <v>Ajuar, Lencería y Menaje</v>
      </c>
      <c r="C61" s="79"/>
      <c r="D61" s="79"/>
      <c r="E61" s="150"/>
      <c r="F61" s="146">
        <f>-'Anexo Gastos '!I8</f>
        <v>0</v>
      </c>
      <c r="G61" s="146"/>
      <c r="H61" s="146">
        <f t="shared" si="8"/>
        <v>0</v>
      </c>
      <c r="I61" s="147" t="str">
        <f t="shared" si="9"/>
        <v>S/P</v>
      </c>
    </row>
    <row r="62" spans="1:9" s="15" customFormat="1" ht="12.75" hidden="1" customHeight="1">
      <c r="A62" s="79"/>
      <c r="B62" s="75">
        <f>+'Anexo Gastos '!B9</f>
        <v>0</v>
      </c>
      <c r="C62" s="79"/>
      <c r="D62" s="79"/>
      <c r="E62" s="150"/>
      <c r="F62" s="146">
        <f>-'Anexo Gastos '!I9</f>
        <v>0</v>
      </c>
      <c r="G62" s="146"/>
      <c r="H62" s="146">
        <f t="shared" si="8"/>
        <v>0</v>
      </c>
      <c r="I62" s="147" t="str">
        <f t="shared" si="9"/>
        <v>S/P</v>
      </c>
    </row>
    <row r="63" spans="1:9" s="15" customFormat="1" ht="12.75" hidden="1" customHeight="1">
      <c r="A63" s="79"/>
      <c r="B63" s="75">
        <f>+'Anexo Gastos '!B10</f>
        <v>0</v>
      </c>
      <c r="C63" s="79"/>
      <c r="D63" s="79"/>
      <c r="E63" s="150"/>
      <c r="F63" s="146">
        <f>-'Anexo Gastos '!I10</f>
        <v>0</v>
      </c>
      <c r="G63" s="146"/>
      <c r="H63" s="146">
        <f t="shared" si="8"/>
        <v>0</v>
      </c>
      <c r="I63" s="147" t="str">
        <f t="shared" si="9"/>
        <v>S/P</v>
      </c>
    </row>
    <row r="64" spans="1:9" s="12" customFormat="1" ht="12.75" hidden="1">
      <c r="A64" s="70" t="s">
        <v>38</v>
      </c>
      <c r="B64" s="70"/>
      <c r="C64" s="70"/>
      <c r="D64" s="70"/>
      <c r="E64" s="71"/>
      <c r="F64" s="72">
        <f>+SUM(F65:F69)</f>
        <v>0</v>
      </c>
      <c r="G64" s="72">
        <f>+SUM(G65:G69)</f>
        <v>0</v>
      </c>
      <c r="H64" s="72">
        <f>+SUM(H65:H69)</f>
        <v>0</v>
      </c>
      <c r="I64" s="73" t="str">
        <f>IF(F64=0,"S/P",+H64/F64)</f>
        <v>S/P</v>
      </c>
    </row>
    <row r="65" spans="1:9" s="15" customFormat="1" ht="12.75" hidden="1" customHeight="1">
      <c r="A65" s="79"/>
      <c r="B65" s="75" t="str">
        <f>+'Anexo Gastos '!B19</f>
        <v>Materias primas talleres</v>
      </c>
      <c r="C65" s="79"/>
      <c r="D65" s="79"/>
      <c r="E65" s="150"/>
      <c r="F65" s="146">
        <f>-'Anexo Gastos '!I19</f>
        <v>0</v>
      </c>
      <c r="G65" s="146"/>
      <c r="H65" s="146">
        <f t="shared" si="8"/>
        <v>0</v>
      </c>
      <c r="I65" s="147" t="str">
        <f>IF(E65=0,"S/P",+H65/E65)</f>
        <v>S/P</v>
      </c>
    </row>
    <row r="66" spans="1:9" s="15" customFormat="1" ht="12.75" hidden="1" customHeight="1">
      <c r="A66" s="79"/>
      <c r="B66" s="75" t="str">
        <f>+'Anexo Gastos '!B20</f>
        <v>Producto 2</v>
      </c>
      <c r="C66" s="79"/>
      <c r="D66" s="79"/>
      <c r="E66" s="150"/>
      <c r="F66" s="146">
        <f>-'Anexo Gastos '!I20</f>
        <v>0</v>
      </c>
      <c r="G66" s="146"/>
      <c r="H66" s="146">
        <f t="shared" si="8"/>
        <v>0</v>
      </c>
      <c r="I66" s="147" t="str">
        <f t="shared" ref="I66:I69" si="10">IF(E66=0,"S/P",+H66/E66)</f>
        <v>S/P</v>
      </c>
    </row>
    <row r="67" spans="1:9" s="15" customFormat="1" ht="12.75" hidden="1" customHeight="1">
      <c r="A67" s="79"/>
      <c r="B67" s="75" t="str">
        <f>+'Anexo Gastos '!B21</f>
        <v>Producto 3</v>
      </c>
      <c r="C67" s="79"/>
      <c r="D67" s="79"/>
      <c r="E67" s="150"/>
      <c r="F67" s="146">
        <f>-'Anexo Gastos '!I21</f>
        <v>0</v>
      </c>
      <c r="G67" s="146"/>
      <c r="H67" s="146">
        <f t="shared" si="8"/>
        <v>0</v>
      </c>
      <c r="I67" s="147" t="str">
        <f t="shared" si="10"/>
        <v>S/P</v>
      </c>
    </row>
    <row r="68" spans="1:9" s="15" customFormat="1" ht="12.75" hidden="1" customHeight="1">
      <c r="A68" s="79"/>
      <c r="B68" s="75" t="str">
        <f>+'Anexo Gastos '!B22</f>
        <v>Producto 4</v>
      </c>
      <c r="C68" s="79"/>
      <c r="D68" s="79"/>
      <c r="E68" s="150"/>
      <c r="F68" s="146">
        <f>-'Anexo Gastos '!I22</f>
        <v>0</v>
      </c>
      <c r="G68" s="146"/>
      <c r="H68" s="146">
        <f t="shared" si="8"/>
        <v>0</v>
      </c>
      <c r="I68" s="147" t="str">
        <f t="shared" si="10"/>
        <v>S/P</v>
      </c>
    </row>
    <row r="69" spans="1:9" s="15" customFormat="1" ht="12.75" hidden="1" customHeight="1">
      <c r="A69" s="79"/>
      <c r="B69" s="75" t="str">
        <f>+'Anexo Gastos '!B23</f>
        <v>Producto 5</v>
      </c>
      <c r="C69" s="79"/>
      <c r="D69" s="79"/>
      <c r="E69" s="150"/>
      <c r="F69" s="146">
        <f>-'Anexo Gastos '!I23</f>
        <v>0</v>
      </c>
      <c r="G69" s="146"/>
      <c r="H69" s="146">
        <f t="shared" si="8"/>
        <v>0</v>
      </c>
      <c r="I69" s="147" t="str">
        <f t="shared" si="10"/>
        <v>S/P</v>
      </c>
    </row>
    <row r="70" spans="1:9" s="12" customFormat="1" ht="12.75">
      <c r="A70" s="70" t="s">
        <v>40</v>
      </c>
      <c r="B70" s="70"/>
      <c r="C70" s="70"/>
      <c r="D70" s="70"/>
      <c r="E70" s="71"/>
      <c r="F70" s="72">
        <f>+SUM(F71:F76)</f>
        <v>0</v>
      </c>
      <c r="G70" s="72">
        <f>+SUM(G71:G74)</f>
        <v>0</v>
      </c>
      <c r="H70" s="72">
        <f>+SUM(H71:H74)</f>
        <v>0</v>
      </c>
      <c r="I70" s="73" t="str">
        <f>IF(F70=0,"S/P",+H70/F70)</f>
        <v>S/P</v>
      </c>
    </row>
    <row r="71" spans="1:9" s="15" customFormat="1" ht="12.75" customHeight="1">
      <c r="A71" s="79"/>
      <c r="B71" s="75" t="str">
        <f>+'Anexo Gastos '!B31</f>
        <v>Material Limpeza y aseo</v>
      </c>
      <c r="C71" s="79"/>
      <c r="D71" s="79"/>
      <c r="E71" s="150"/>
      <c r="F71" s="146">
        <f>-'Anexo Gastos '!I31</f>
        <v>0</v>
      </c>
      <c r="G71" s="146"/>
      <c r="H71" s="146">
        <f t="shared" si="8"/>
        <v>0</v>
      </c>
      <c r="I71" s="147" t="str">
        <f>IF(E71=0,"S/P",+H71/E71)</f>
        <v>S/P</v>
      </c>
    </row>
    <row r="72" spans="1:9" s="15" customFormat="1" ht="12.75" customHeight="1">
      <c r="A72" s="79"/>
      <c r="B72" s="75" t="str">
        <f>+'Anexo Gastos '!B32</f>
        <v>Lavanderia-Compras</v>
      </c>
      <c r="C72" s="79"/>
      <c r="D72" s="79"/>
      <c r="E72" s="150"/>
      <c r="F72" s="146">
        <f>-'Anexo Gastos '!I32</f>
        <v>0</v>
      </c>
      <c r="G72" s="146"/>
      <c r="H72" s="146">
        <f t="shared" si="8"/>
        <v>0</v>
      </c>
      <c r="I72" s="147" t="str">
        <f t="shared" ref="I72:I74" si="11">IF(E72=0,"S/P",+H72/E72)</f>
        <v>S/P</v>
      </c>
    </row>
    <row r="73" spans="1:9" s="15" customFormat="1" ht="12.75" customHeight="1">
      <c r="A73" s="79"/>
      <c r="B73" s="75" t="str">
        <f>+'Anexo Gastos '!B33</f>
        <v>Material Sanitario e Farmaceutico</v>
      </c>
      <c r="C73" s="79"/>
      <c r="D73" s="79"/>
      <c r="E73" s="150"/>
      <c r="F73" s="146">
        <f>-'Anexo Gastos '!I33</f>
        <v>0</v>
      </c>
      <c r="G73" s="146"/>
      <c r="H73" s="146">
        <f t="shared" si="8"/>
        <v>0</v>
      </c>
      <c r="I73" s="147" t="str">
        <f t="shared" si="11"/>
        <v>S/P</v>
      </c>
    </row>
    <row r="74" spans="1:9" s="15" customFormat="1" ht="12.75" customHeight="1">
      <c r="A74" s="79"/>
      <c r="B74" s="75">
        <f>+'Anexo Gastos '!B34</f>
        <v>0</v>
      </c>
      <c r="C74" s="79"/>
      <c r="D74" s="79"/>
      <c r="E74" s="150"/>
      <c r="F74" s="146">
        <f>-'Anexo Gastos '!I34</f>
        <v>0</v>
      </c>
      <c r="G74" s="146"/>
      <c r="H74" s="146">
        <f t="shared" si="8"/>
        <v>0</v>
      </c>
      <c r="I74" s="147" t="str">
        <f t="shared" si="11"/>
        <v>S/P</v>
      </c>
    </row>
    <row r="75" spans="1:9" s="15" customFormat="1" ht="12.75" customHeight="1">
      <c r="A75" s="79"/>
      <c r="B75" s="75">
        <f>+'Anexo Gastos '!B35</f>
        <v>0</v>
      </c>
      <c r="C75" s="79"/>
      <c r="D75" s="79"/>
      <c r="E75" s="150"/>
      <c r="F75" s="146">
        <f>-'Anexo Gastos '!I35</f>
        <v>0</v>
      </c>
      <c r="G75" s="146"/>
      <c r="H75" s="146"/>
      <c r="I75" s="147"/>
    </row>
    <row r="76" spans="1:9" s="15" customFormat="1" ht="12.75" customHeight="1">
      <c r="A76" s="79"/>
      <c r="B76" s="75" t="str">
        <f>+'Anexo Gastos '!B36</f>
        <v>Compras Otros aprovisionamientos</v>
      </c>
      <c r="C76" s="79"/>
      <c r="D76" s="79"/>
      <c r="E76" s="150"/>
      <c r="F76" s="146">
        <f>-'Anexo Gastos '!I36</f>
        <v>0</v>
      </c>
      <c r="G76" s="146"/>
      <c r="H76" s="146"/>
      <c r="I76" s="147"/>
    </row>
    <row r="77" spans="1:9" s="12" customFormat="1" ht="12.75">
      <c r="A77" s="70" t="s">
        <v>42</v>
      </c>
      <c r="B77" s="70"/>
      <c r="C77" s="70"/>
      <c r="D77" s="70"/>
      <c r="E77" s="71"/>
      <c r="F77" s="72">
        <f>+SUM(F78:F82)</f>
        <v>0</v>
      </c>
      <c r="G77" s="72">
        <f>+SUM(G78:G81)</f>
        <v>0</v>
      </c>
      <c r="H77" s="72">
        <f>+SUM(H78:H81)</f>
        <v>0</v>
      </c>
      <c r="I77" s="73" t="str">
        <f>IF(F77=0,"S/P",+H77/F77)</f>
        <v>S/P</v>
      </c>
    </row>
    <row r="78" spans="1:9" s="15" customFormat="1" ht="12.75" customHeight="1">
      <c r="A78" s="79"/>
      <c r="B78" s="75" t="str">
        <f>+'Anexo Gastos '!B44</f>
        <v>Desratización e Higienización</v>
      </c>
      <c r="C78" s="79"/>
      <c r="D78" s="79"/>
      <c r="E78" s="150"/>
      <c r="F78" s="146">
        <f>-'Anexo Gastos '!I44</f>
        <v>0</v>
      </c>
      <c r="G78" s="146"/>
      <c r="H78" s="146">
        <f t="shared" si="8"/>
        <v>0</v>
      </c>
      <c r="I78" s="147" t="str">
        <f>IF(E78=0,"S/P",+H78/E78)</f>
        <v>S/P</v>
      </c>
    </row>
    <row r="79" spans="1:9" s="15" customFormat="1" ht="12.75" customHeight="1">
      <c r="A79" s="79"/>
      <c r="B79" s="75" t="str">
        <f>+'Anexo Gastos '!B45</f>
        <v>Gastos Actividades</v>
      </c>
      <c r="C79" s="79"/>
      <c r="D79" s="79"/>
      <c r="E79" s="150"/>
      <c r="F79" s="146">
        <f>-'Anexo Gastos '!I45</f>
        <v>0</v>
      </c>
      <c r="G79" s="146"/>
      <c r="H79" s="146">
        <f t="shared" si="8"/>
        <v>0</v>
      </c>
      <c r="I79" s="147" t="str">
        <f t="shared" ref="I79:I81" si="12">IF(E79=0,"S/P",+H79/E79)</f>
        <v>S/P</v>
      </c>
    </row>
    <row r="80" spans="1:9" s="15" customFormat="1" ht="12.75" customHeight="1">
      <c r="A80" s="79"/>
      <c r="B80" s="75" t="str">
        <f>+'Anexo Gastos '!B46</f>
        <v>Ajuste social, ocio y tiempo libre</v>
      </c>
      <c r="C80" s="79"/>
      <c r="D80" s="79"/>
      <c r="E80" s="150"/>
      <c r="F80" s="146">
        <f>-'Anexo Gastos '!I46</f>
        <v>0</v>
      </c>
      <c r="G80" s="146"/>
      <c r="H80" s="146">
        <f t="shared" si="8"/>
        <v>0</v>
      </c>
      <c r="I80" s="147" t="str">
        <f t="shared" si="12"/>
        <v>S/P</v>
      </c>
    </row>
    <row r="81" spans="1:10" s="15" customFormat="1" ht="12.75" customHeight="1">
      <c r="A81" s="79"/>
      <c r="B81" s="75" t="str">
        <f>+'Anexo Gastos '!B47</f>
        <v>Gasto Transporte</v>
      </c>
      <c r="C81" s="79"/>
      <c r="D81" s="79"/>
      <c r="E81" s="150"/>
      <c r="F81" s="146">
        <f>-'Anexo Gastos '!I47</f>
        <v>0</v>
      </c>
      <c r="G81" s="146"/>
      <c r="H81" s="146">
        <f t="shared" si="8"/>
        <v>0</v>
      </c>
      <c r="I81" s="147" t="str">
        <f t="shared" si="12"/>
        <v>S/P</v>
      </c>
    </row>
    <row r="82" spans="1:10" s="15" customFormat="1" ht="12.75" customHeight="1">
      <c r="A82" s="79"/>
      <c r="B82" s="75" t="str">
        <f>+'Anexo Gastos '!B48</f>
        <v>Servicios de Lavandería (CEE)</v>
      </c>
      <c r="C82" s="79"/>
      <c r="D82" s="79"/>
      <c r="E82" s="150"/>
      <c r="F82" s="146">
        <f>-'Anexo Gastos '!I48</f>
        <v>0</v>
      </c>
      <c r="G82" s="146"/>
      <c r="H82" s="146"/>
      <c r="I82" s="147"/>
    </row>
    <row r="83" spans="1:10" s="63" customFormat="1" ht="16.5">
      <c r="A83" s="58" t="s">
        <v>44</v>
      </c>
      <c r="B83" s="59"/>
      <c r="C83" s="59"/>
      <c r="D83" s="59"/>
      <c r="E83" s="60"/>
      <c r="F83" s="61">
        <f>+SUM(F85:F94)</f>
        <v>0</v>
      </c>
      <c r="G83" s="61">
        <f>+SUM(G84:G94)</f>
        <v>0</v>
      </c>
      <c r="H83" s="61">
        <f>+SUM(H84:H94)</f>
        <v>0</v>
      </c>
      <c r="I83" s="62" t="str">
        <f>IF(F83=0,"S/P",+H83/F83)</f>
        <v>S/P</v>
      </c>
    </row>
    <row r="84" spans="1:10" s="63" customFormat="1" ht="9.75" customHeight="1"/>
    <row r="85" spans="1:10" s="12" customFormat="1" ht="12.75">
      <c r="A85" s="341" t="s">
        <v>45</v>
      </c>
      <c r="B85" s="341"/>
      <c r="C85" s="341"/>
      <c r="D85" s="341"/>
      <c r="E85" s="342"/>
      <c r="F85" s="343">
        <f>+'Anexo Ingresos'!I87</f>
        <v>0</v>
      </c>
      <c r="G85" s="343"/>
      <c r="H85" s="343">
        <f>+G85-F85</f>
        <v>0</v>
      </c>
      <c r="I85" s="344" t="str">
        <f>IF(F85=0,"S/P",+H85/F85)</f>
        <v>S/P</v>
      </c>
      <c r="J85" s="170"/>
    </row>
    <row r="86" spans="1:10" s="12" customFormat="1" ht="12.75" customHeight="1">
      <c r="A86" s="170"/>
      <c r="B86" s="25" t="s">
        <v>46</v>
      </c>
      <c r="C86" s="170"/>
      <c r="D86" s="170"/>
      <c r="E86" s="348"/>
      <c r="F86" s="43"/>
      <c r="G86" s="120"/>
      <c r="H86" s="120"/>
      <c r="I86" s="120"/>
      <c r="J86" s="170"/>
    </row>
    <row r="87" spans="1:10" s="12" customFormat="1" ht="12.75">
      <c r="A87" s="341" t="s">
        <v>47</v>
      </c>
      <c r="B87" s="341"/>
      <c r="C87" s="341"/>
      <c r="D87" s="341"/>
      <c r="E87" s="342"/>
      <c r="F87" s="343"/>
      <c r="G87" s="343"/>
      <c r="H87" s="343">
        <f>+G87-F87</f>
        <v>0</v>
      </c>
      <c r="I87" s="344" t="str">
        <f>IF(F87=0,"S/P",+H87/F87)</f>
        <v>S/P</v>
      </c>
      <c r="J87" s="170"/>
    </row>
    <row r="88" spans="1:10" s="12" customFormat="1" ht="12.75" customHeight="1">
      <c r="A88" s="170"/>
      <c r="B88" s="25" t="s">
        <v>48</v>
      </c>
      <c r="C88" s="170"/>
      <c r="D88" s="170"/>
      <c r="E88" s="348"/>
      <c r="F88" s="43"/>
      <c r="G88" s="120"/>
      <c r="H88" s="120"/>
      <c r="I88" s="120"/>
      <c r="J88" s="170"/>
    </row>
    <row r="89" spans="1:10" s="12" customFormat="1" ht="12.75">
      <c r="A89" s="341" t="s">
        <v>176</v>
      </c>
      <c r="B89" s="341"/>
      <c r="C89" s="341"/>
      <c r="D89" s="341"/>
      <c r="E89" s="342"/>
      <c r="F89" s="343"/>
      <c r="G89" s="343"/>
      <c r="H89" s="343">
        <f>+G89-F89</f>
        <v>0</v>
      </c>
      <c r="I89" s="344" t="str">
        <f>IF(F89=0,"S/P",+H89/F89)</f>
        <v>S/P</v>
      </c>
      <c r="J89" s="170"/>
    </row>
    <row r="90" spans="1:10" s="12" customFormat="1" ht="12.75" customHeight="1">
      <c r="A90" s="170"/>
      <c r="B90" s="25" t="s">
        <v>50</v>
      </c>
      <c r="C90" s="170"/>
      <c r="D90" s="170"/>
      <c r="E90" s="348"/>
      <c r="F90" s="43"/>
      <c r="G90" s="120"/>
      <c r="H90" s="120"/>
      <c r="I90" s="120"/>
      <c r="J90" s="170"/>
    </row>
    <row r="91" spans="1:10" s="12" customFormat="1" ht="12.75">
      <c r="A91" s="341" t="s">
        <v>51</v>
      </c>
      <c r="B91" s="341"/>
      <c r="C91" s="341"/>
      <c r="D91" s="341"/>
      <c r="E91" s="342"/>
      <c r="F91" s="343"/>
      <c r="G91" s="343"/>
      <c r="H91" s="343">
        <f>+G91-F91</f>
        <v>0</v>
      </c>
      <c r="I91" s="344" t="str">
        <f>IF(F91=0,"S/P",+H91/F91)</f>
        <v>S/P</v>
      </c>
      <c r="J91" s="170"/>
    </row>
    <row r="92" spans="1:10" s="12" customFormat="1" ht="12.75" customHeight="1">
      <c r="A92" s="170"/>
      <c r="B92" s="25" t="s">
        <v>177</v>
      </c>
      <c r="C92" s="170"/>
      <c r="D92" s="170"/>
      <c r="E92" s="348"/>
      <c r="F92" s="43"/>
      <c r="G92" s="120"/>
      <c r="H92" s="120"/>
      <c r="I92" s="120"/>
      <c r="J92" s="170"/>
    </row>
    <row r="93" spans="1:10" s="12" customFormat="1" ht="12.75">
      <c r="A93" s="341" t="s">
        <v>53</v>
      </c>
      <c r="B93" s="341"/>
      <c r="C93" s="341"/>
      <c r="D93" s="341"/>
      <c r="E93" s="342"/>
      <c r="F93" s="343"/>
      <c r="G93" s="343"/>
      <c r="H93" s="343">
        <f>+G93-F93</f>
        <v>0</v>
      </c>
      <c r="I93" s="344" t="str">
        <f>IF(F93=0,"S/P",+H93/F93)</f>
        <v>S/P</v>
      </c>
      <c r="J93" s="170"/>
    </row>
    <row r="94" spans="1:10" s="12" customFormat="1" ht="12.75" customHeight="1">
      <c r="A94" s="170"/>
      <c r="B94" s="25" t="s">
        <v>54</v>
      </c>
      <c r="C94" s="170"/>
      <c r="D94" s="170"/>
      <c r="E94" s="348"/>
      <c r="F94" s="43"/>
      <c r="G94" s="120"/>
      <c r="H94" s="120"/>
      <c r="I94" s="120"/>
      <c r="J94" s="170"/>
    </row>
    <row r="95" spans="1:10" s="63" customFormat="1" ht="16.5">
      <c r="A95" s="65" t="s">
        <v>55</v>
      </c>
      <c r="B95" s="66"/>
      <c r="C95" s="66"/>
      <c r="D95" s="66"/>
      <c r="E95" s="67"/>
      <c r="F95" s="68" t="e">
        <f>+F97+F99+F101</f>
        <v>#N/A</v>
      </c>
      <c r="G95" s="68">
        <f>+SUM(G96:G102)</f>
        <v>0</v>
      </c>
      <c r="H95" s="68" t="e">
        <f>+SUM(H96:H102)</f>
        <v>#N/A</v>
      </c>
      <c r="I95" s="69" t="e">
        <f>IF(F95=0,"S/P",+H95/F95)</f>
        <v>#N/A</v>
      </c>
      <c r="J95" s="319" t="e">
        <f>+F95/(F95+F38+F56+F103+F141)</f>
        <v>#N/A</v>
      </c>
    </row>
    <row r="96" spans="1:10" s="63" customFormat="1" ht="9.75" customHeight="1"/>
    <row r="97" spans="1:9" s="12" customFormat="1" ht="12.75">
      <c r="A97" s="70" t="s">
        <v>56</v>
      </c>
      <c r="B97" s="70"/>
      <c r="C97" s="70"/>
      <c r="D97" s="70"/>
      <c r="E97" s="71"/>
      <c r="F97" s="72" t="e">
        <f>-'Gastos de Persoal'!N89-'Gastos de Persoal'!N99-'Gastos de Persoal'!S89</f>
        <v>#N/A</v>
      </c>
      <c r="G97" s="72"/>
      <c r="H97" s="72" t="e">
        <f>+G97-F97</f>
        <v>#N/A</v>
      </c>
      <c r="I97" s="73" t="e">
        <f>IF(F97=0,"S/P",+H97/F97)</f>
        <v>#N/A</v>
      </c>
    </row>
    <row r="98" spans="1:9" ht="12.75" customHeight="1">
      <c r="A98" s="74"/>
      <c r="B98" s="75" t="s">
        <v>178</v>
      </c>
      <c r="C98" s="74"/>
      <c r="D98" s="74"/>
      <c r="E98" s="76"/>
      <c r="F98" s="77"/>
      <c r="G98" s="78"/>
      <c r="H98" s="78"/>
      <c r="I98" s="78"/>
    </row>
    <row r="99" spans="1:9" s="12" customFormat="1" ht="12.75">
      <c r="A99" s="70" t="s">
        <v>58</v>
      </c>
      <c r="B99" s="70"/>
      <c r="C99" s="70"/>
      <c r="D99" s="70"/>
      <c r="E99" s="71"/>
      <c r="F99" s="72" t="e">
        <f>-'Gastos de Persoal'!P89-'Gastos de Persoal'!P99</f>
        <v>#N/A</v>
      </c>
      <c r="G99" s="72"/>
      <c r="H99" s="72" t="e">
        <f>+G99-F99</f>
        <v>#N/A</v>
      </c>
      <c r="I99" s="73" t="e">
        <f>IF(F99=0,"S/P",+H99/F99)</f>
        <v>#N/A</v>
      </c>
    </row>
    <row r="100" spans="1:9" ht="12.75" customHeight="1">
      <c r="A100" s="74"/>
      <c r="B100" s="75" t="s">
        <v>219</v>
      </c>
      <c r="C100" s="74"/>
      <c r="D100" s="74"/>
      <c r="E100" s="76"/>
      <c r="F100" s="77"/>
      <c r="G100" s="78"/>
      <c r="H100" s="78"/>
      <c r="I100" s="78"/>
    </row>
    <row r="101" spans="1:9" s="12" customFormat="1" ht="12.75">
      <c r="A101" s="70" t="s">
        <v>60</v>
      </c>
      <c r="B101" s="70"/>
      <c r="C101" s="70"/>
      <c r="D101" s="70"/>
      <c r="E101" s="71"/>
      <c r="F101" s="72">
        <f>-'Anexo Gastos '!I189</f>
        <v>0</v>
      </c>
      <c r="G101" s="72"/>
      <c r="H101" s="72">
        <f>+G101-F101</f>
        <v>0</v>
      </c>
      <c r="I101" s="73" t="str">
        <f>IF(F101=0,"S/P",+H101/F101)</f>
        <v>S/P</v>
      </c>
    </row>
    <row r="102" spans="1:9" ht="12.75" customHeight="1">
      <c r="A102" s="74"/>
      <c r="B102" s="75" t="s">
        <v>61</v>
      </c>
      <c r="C102" s="74"/>
      <c r="D102" s="74"/>
      <c r="E102" s="76"/>
      <c r="F102" s="77"/>
      <c r="G102" s="78"/>
      <c r="H102" s="78"/>
      <c r="I102" s="78"/>
    </row>
    <row r="103" spans="1:9" s="63" customFormat="1" ht="16.5">
      <c r="A103" s="65" t="s">
        <v>62</v>
      </c>
      <c r="B103" s="66"/>
      <c r="C103" s="66"/>
      <c r="D103" s="66"/>
      <c r="E103" s="67"/>
      <c r="F103" s="68">
        <f>+F105+F107+F109+F111+F113+F115+F117+F119+F125+F135+F137+F139</f>
        <v>0</v>
      </c>
      <c r="G103" s="68">
        <f>+G107+G109+G111+G113+G115+G117+G119+G125+G135+G137+G139</f>
        <v>0</v>
      </c>
      <c r="H103" s="68">
        <f>+H107+H109+H111+H113+H115+H117+H119+H125+H135+H137+H139</f>
        <v>0</v>
      </c>
      <c r="I103" s="69" t="str">
        <f>IF(F103=0,"S/P",+H103/F103)</f>
        <v>S/P</v>
      </c>
    </row>
    <row r="104" spans="1:9" s="63" customFormat="1" ht="9.75" customHeight="1"/>
    <row r="105" spans="1:9" s="12" customFormat="1" ht="12.75">
      <c r="A105" s="70" t="s">
        <v>63</v>
      </c>
      <c r="B105" s="70"/>
      <c r="C105" s="70"/>
      <c r="D105" s="70"/>
      <c r="E105" s="71"/>
      <c r="F105" s="72">
        <f>-'Anexo Gastos '!I61</f>
        <v>0</v>
      </c>
      <c r="G105" s="72"/>
      <c r="H105" s="72">
        <f>+G105-F105</f>
        <v>0</v>
      </c>
      <c r="I105" s="73" t="str">
        <f>IF(F105=0,"S/P",+H105/F105)</f>
        <v>S/P</v>
      </c>
    </row>
    <row r="106" spans="1:9" s="15" customFormat="1" ht="12.75" customHeight="1">
      <c r="A106" s="79"/>
      <c r="B106" s="75" t="s">
        <v>182</v>
      </c>
      <c r="C106" s="79"/>
      <c r="D106" s="79"/>
      <c r="E106" s="80"/>
      <c r="F106" s="81"/>
      <c r="G106" s="82"/>
      <c r="H106" s="82"/>
      <c r="I106" s="83"/>
    </row>
    <row r="107" spans="1:9" s="12" customFormat="1" ht="12.75">
      <c r="A107" s="70" t="s">
        <v>65</v>
      </c>
      <c r="B107" s="70"/>
      <c r="C107" s="70"/>
      <c r="D107" s="70"/>
      <c r="E107" s="71"/>
      <c r="F107" s="72">
        <f>-'Anexo Gastos '!I73</f>
        <v>0</v>
      </c>
      <c r="G107" s="72"/>
      <c r="H107" s="72">
        <f>+G107-F107</f>
        <v>0</v>
      </c>
      <c r="I107" s="73" t="str">
        <f>IF(F107=0,"S/P",+H107/F107)</f>
        <v>S/P</v>
      </c>
    </row>
    <row r="108" spans="1:9" s="15" customFormat="1" ht="12.75" customHeight="1">
      <c r="A108" s="79"/>
      <c r="B108" s="75" t="s">
        <v>66</v>
      </c>
      <c r="C108" s="79"/>
      <c r="D108" s="79"/>
      <c r="E108" s="80"/>
      <c r="F108" s="81"/>
      <c r="G108" s="82"/>
      <c r="H108" s="82"/>
      <c r="I108" s="83"/>
    </row>
    <row r="109" spans="1:9" s="12" customFormat="1" ht="12.75">
      <c r="A109" s="70" t="s">
        <v>67</v>
      </c>
      <c r="B109" s="70"/>
      <c r="C109" s="70"/>
      <c r="D109" s="70"/>
      <c r="E109" s="71"/>
      <c r="F109" s="72">
        <f>-'Anexo Gastos '!I85</f>
        <v>0</v>
      </c>
      <c r="G109" s="72"/>
      <c r="H109" s="72">
        <f>+G109-F109</f>
        <v>0</v>
      </c>
      <c r="I109" s="73" t="str">
        <f>IF(F109=0,"S/P",+H109/F109)</f>
        <v>S/P</v>
      </c>
    </row>
    <row r="110" spans="1:9" s="15" customFormat="1" ht="12.75" customHeight="1">
      <c r="A110" s="79"/>
      <c r="B110" s="75" t="s">
        <v>68</v>
      </c>
      <c r="C110" s="79"/>
      <c r="D110" s="79"/>
      <c r="E110" s="80"/>
      <c r="F110" s="81"/>
      <c r="G110" s="82"/>
      <c r="H110" s="82"/>
      <c r="I110" s="83"/>
    </row>
    <row r="111" spans="1:9" s="12" customFormat="1" ht="12.75" hidden="1">
      <c r="A111" s="70" t="s">
        <v>69</v>
      </c>
      <c r="B111" s="70"/>
      <c r="C111" s="70"/>
      <c r="D111" s="70"/>
      <c r="E111" s="71"/>
      <c r="F111" s="72">
        <f>-'Anexo Gastos '!I97</f>
        <v>0</v>
      </c>
      <c r="G111" s="72"/>
      <c r="H111" s="72">
        <f>+G111-F111</f>
        <v>0</v>
      </c>
      <c r="I111" s="73" t="str">
        <f>IF(F111=0,"S/P",+H111/F111)</f>
        <v>S/P</v>
      </c>
    </row>
    <row r="112" spans="1:9" s="15" customFormat="1" ht="12.75" hidden="1" customHeight="1">
      <c r="A112" s="79"/>
      <c r="B112" s="75" t="s">
        <v>183</v>
      </c>
      <c r="C112" s="79"/>
      <c r="D112" s="79"/>
      <c r="E112" s="80"/>
      <c r="F112" s="81"/>
      <c r="G112" s="82"/>
      <c r="H112" s="82"/>
      <c r="I112" s="82"/>
    </row>
    <row r="113" spans="1:9" s="12" customFormat="1" ht="12.75">
      <c r="A113" s="70" t="s">
        <v>71</v>
      </c>
      <c r="B113" s="70"/>
      <c r="C113" s="70"/>
      <c r="D113" s="70"/>
      <c r="E113" s="71"/>
      <c r="F113" s="72">
        <f>-'Anexo Gastos '!I111</f>
        <v>0</v>
      </c>
      <c r="G113" s="72"/>
      <c r="H113" s="72">
        <f>+G113-F113</f>
        <v>0</v>
      </c>
      <c r="I113" s="73" t="str">
        <f>IF(F113=0,"S/P",+H113/F113)</f>
        <v>S/P</v>
      </c>
    </row>
    <row r="114" spans="1:9" s="15" customFormat="1" ht="12.75" customHeight="1">
      <c r="A114" s="79"/>
      <c r="B114" s="75" t="s">
        <v>220</v>
      </c>
      <c r="C114" s="79"/>
      <c r="D114" s="79"/>
      <c r="E114" s="80"/>
      <c r="F114" s="81"/>
      <c r="G114" s="82"/>
      <c r="H114" s="82"/>
      <c r="I114" s="82"/>
    </row>
    <row r="115" spans="1:9" s="12" customFormat="1" ht="12.75">
      <c r="A115" s="70" t="s">
        <v>73</v>
      </c>
      <c r="B115" s="70"/>
      <c r="C115" s="70"/>
      <c r="D115" s="70"/>
      <c r="E115" s="71"/>
      <c r="F115" s="72">
        <f>-'Anexo Gastos '!I123</f>
        <v>0</v>
      </c>
      <c r="G115" s="72"/>
      <c r="H115" s="72">
        <f>+G115-F115</f>
        <v>0</v>
      </c>
      <c r="I115" s="73" t="str">
        <f>IF(F115=0,"S/P",+H115/F115)</f>
        <v>S/P</v>
      </c>
    </row>
    <row r="116" spans="1:9" s="15" customFormat="1" ht="12.75" customHeight="1">
      <c r="A116" s="79"/>
      <c r="B116" s="75" t="s">
        <v>74</v>
      </c>
      <c r="C116" s="79"/>
      <c r="D116" s="79"/>
      <c r="E116" s="80"/>
      <c r="F116" s="81"/>
      <c r="G116" s="82"/>
      <c r="H116" s="82"/>
      <c r="I116" s="82"/>
    </row>
    <row r="117" spans="1:9" s="12" customFormat="1" ht="12.75" hidden="1">
      <c r="A117" s="70" t="s">
        <v>221</v>
      </c>
      <c r="B117" s="70"/>
      <c r="C117" s="70"/>
      <c r="D117" s="70"/>
      <c r="E117" s="71"/>
      <c r="F117" s="72">
        <f>-'Anexo Gastos '!I134</f>
        <v>0</v>
      </c>
      <c r="G117" s="72"/>
      <c r="H117" s="72">
        <f>+G117-F117</f>
        <v>0</v>
      </c>
      <c r="I117" s="73" t="str">
        <f>IF(F117=0,"S/P",+H117/F117)</f>
        <v>S/P</v>
      </c>
    </row>
    <row r="118" spans="1:9" s="15" customFormat="1" ht="12.75" hidden="1" customHeight="1">
      <c r="A118" s="79"/>
      <c r="B118" s="75" t="s">
        <v>76</v>
      </c>
      <c r="C118" s="79"/>
      <c r="D118" s="79"/>
      <c r="E118" s="80"/>
      <c r="F118" s="81"/>
      <c r="G118" s="82"/>
      <c r="H118" s="82"/>
      <c r="I118" s="82"/>
    </row>
    <row r="119" spans="1:9" s="12" customFormat="1" ht="12.75">
      <c r="A119" s="70" t="s">
        <v>77</v>
      </c>
      <c r="B119" s="70"/>
      <c r="C119" s="70"/>
      <c r="D119" s="70"/>
      <c r="E119" s="71"/>
      <c r="F119" s="72">
        <f>+SUM(F120:F124)</f>
        <v>0</v>
      </c>
      <c r="G119" s="72">
        <f>+SUM(G120:G124)</f>
        <v>0</v>
      </c>
      <c r="H119" s="72">
        <f>+SUM(H120:H124)</f>
        <v>0</v>
      </c>
      <c r="I119" s="73" t="str">
        <f>IF(F119=0,"S/P",+H119/F119)</f>
        <v>S/P</v>
      </c>
    </row>
    <row r="120" spans="1:9" s="15" customFormat="1" ht="12.75" customHeight="1">
      <c r="A120" s="79"/>
      <c r="B120" s="75" t="str">
        <f>+'Anexo Gastos '!B141</f>
        <v xml:space="preserve">Luz </v>
      </c>
      <c r="C120" s="79"/>
      <c r="D120" s="79"/>
      <c r="E120" s="150"/>
      <c r="F120" s="146">
        <f>-'Anexo Gastos '!I141</f>
        <v>0</v>
      </c>
      <c r="G120" s="146"/>
      <c r="H120" s="146">
        <f>+G120-F120</f>
        <v>0</v>
      </c>
      <c r="I120" s="147" t="str">
        <f>IF(E120=0,"S/P",+H120/E120)</f>
        <v>S/P</v>
      </c>
    </row>
    <row r="121" spans="1:9" s="15" customFormat="1" ht="12.75" customHeight="1">
      <c r="A121" s="79"/>
      <c r="B121" s="75" t="str">
        <f>+'Anexo Gastos '!B142</f>
        <v>Agua</v>
      </c>
      <c r="C121" s="79"/>
      <c r="D121" s="79"/>
      <c r="E121" s="150"/>
      <c r="F121" s="146">
        <f>-'Anexo Gastos '!I142</f>
        <v>0</v>
      </c>
      <c r="G121" s="146"/>
      <c r="H121" s="146">
        <f t="shared" ref="H121:H133" si="13">+G121-F121</f>
        <v>0</v>
      </c>
      <c r="I121" s="147" t="str">
        <f t="shared" ref="I121:I133" si="14">IF(E121=0,"S/P",+H121/E121)</f>
        <v>S/P</v>
      </c>
    </row>
    <row r="122" spans="1:9" s="15" customFormat="1" ht="12.75" customHeight="1">
      <c r="A122" s="79"/>
      <c r="B122" s="75" t="str">
        <f>+'Anexo Gastos '!B143</f>
        <v>Carburantes Instalaciones</v>
      </c>
      <c r="C122" s="79"/>
      <c r="D122" s="79"/>
      <c r="E122" s="150"/>
      <c r="F122" s="146">
        <f>-'Anexo Gastos '!I143</f>
        <v>0</v>
      </c>
      <c r="G122" s="146"/>
      <c r="H122" s="146">
        <f t="shared" si="13"/>
        <v>0</v>
      </c>
      <c r="I122" s="147" t="str">
        <f t="shared" si="14"/>
        <v>S/P</v>
      </c>
    </row>
    <row r="123" spans="1:9" s="15" customFormat="1" ht="12.75" customHeight="1">
      <c r="A123" s="79"/>
      <c r="B123" s="75" t="str">
        <f>+'Anexo Gastos '!B144</f>
        <v>Carburantes Vehículos</v>
      </c>
      <c r="C123" s="79"/>
      <c r="D123" s="79"/>
      <c r="E123" s="150"/>
      <c r="F123" s="146">
        <f>-'Anexo Gastos '!I144</f>
        <v>0</v>
      </c>
      <c r="G123" s="146"/>
      <c r="H123" s="146">
        <f t="shared" si="13"/>
        <v>0</v>
      </c>
      <c r="I123" s="147" t="str">
        <f t="shared" si="14"/>
        <v>S/P</v>
      </c>
    </row>
    <row r="124" spans="1:9" s="15" customFormat="1" ht="12.75" hidden="1" customHeight="1">
      <c r="A124" s="79"/>
      <c r="B124" s="75" t="str">
        <f>+'Anexo Gastos '!B145</f>
        <v>Otros Suministros</v>
      </c>
      <c r="C124" s="79"/>
      <c r="D124" s="79"/>
      <c r="E124" s="150"/>
      <c r="F124" s="146">
        <f>-'Anexo Gastos '!I145</f>
        <v>0</v>
      </c>
      <c r="G124" s="146"/>
      <c r="H124" s="146">
        <f t="shared" si="13"/>
        <v>0</v>
      </c>
      <c r="I124" s="147" t="str">
        <f t="shared" si="14"/>
        <v>S/P</v>
      </c>
    </row>
    <row r="125" spans="1:9" s="12" customFormat="1" ht="12.75">
      <c r="A125" s="70" t="s">
        <v>79</v>
      </c>
      <c r="B125" s="70"/>
      <c r="C125" s="70"/>
      <c r="D125" s="70"/>
      <c r="E125" s="71"/>
      <c r="F125" s="72">
        <f>+SUM(F126:F134)</f>
        <v>0</v>
      </c>
      <c r="G125" s="72">
        <f>+SUM(G126:G133)</f>
        <v>0</v>
      </c>
      <c r="H125" s="72">
        <f>+SUM(H126:H133)</f>
        <v>0</v>
      </c>
      <c r="I125" s="73" t="str">
        <f>IF(F125=0,"S/P",+H125/F125)</f>
        <v>S/P</v>
      </c>
    </row>
    <row r="126" spans="1:9" s="15" customFormat="1" ht="12.75" customHeight="1">
      <c r="A126" s="79"/>
      <c r="B126" s="75" t="str">
        <f>+'Anexo Gastos '!B153</f>
        <v>Correos e Mensaxería</v>
      </c>
      <c r="C126" s="79"/>
      <c r="D126" s="79"/>
      <c r="E126" s="150"/>
      <c r="F126" s="146">
        <f>-'Anexo Gastos '!I153</f>
        <v>0</v>
      </c>
      <c r="G126" s="146"/>
      <c r="H126" s="146">
        <f t="shared" si="13"/>
        <v>0</v>
      </c>
      <c r="I126" s="147" t="str">
        <f t="shared" si="14"/>
        <v>S/P</v>
      </c>
    </row>
    <row r="127" spans="1:9" s="15" customFormat="1" ht="12.75" customHeight="1">
      <c r="A127" s="79"/>
      <c r="B127" s="75" t="str">
        <f>+'Anexo Gastos '!B154</f>
        <v>Asesoría e Auditoría</v>
      </c>
      <c r="C127" s="79"/>
      <c r="D127" s="79"/>
      <c r="E127" s="150"/>
      <c r="F127" s="146">
        <f>-'Anexo Gastos '!I154</f>
        <v>0</v>
      </c>
      <c r="G127" s="146"/>
      <c r="H127" s="146">
        <f t="shared" si="13"/>
        <v>0</v>
      </c>
      <c r="I127" s="147" t="str">
        <f t="shared" si="14"/>
        <v>S/P</v>
      </c>
    </row>
    <row r="128" spans="1:9" s="15" customFormat="1" ht="12.75" customHeight="1">
      <c r="A128" s="79"/>
      <c r="B128" s="75" t="str">
        <f>+'Anexo Gastos '!B155</f>
        <v>Gastos de Viaje</v>
      </c>
      <c r="C128" s="79"/>
      <c r="D128" s="79"/>
      <c r="E128" s="150"/>
      <c r="F128" s="146">
        <f>-'Anexo Gastos '!I155</f>
        <v>0</v>
      </c>
      <c r="G128" s="146"/>
      <c r="H128" s="146">
        <f t="shared" si="13"/>
        <v>0</v>
      </c>
      <c r="I128" s="147" t="str">
        <f t="shared" si="14"/>
        <v>S/P</v>
      </c>
    </row>
    <row r="129" spans="1:9" s="15" customFormat="1" ht="12.75" customHeight="1">
      <c r="A129" s="79"/>
      <c r="B129" s="75" t="str">
        <f>+'Anexo Gastos '!B156</f>
        <v>Comunidad de Vecinos</v>
      </c>
      <c r="C129" s="79"/>
      <c r="D129" s="79"/>
      <c r="E129" s="150"/>
      <c r="F129" s="146">
        <f>-'Anexo Gastos '!I156</f>
        <v>0</v>
      </c>
      <c r="G129" s="146"/>
      <c r="H129" s="146">
        <f t="shared" si="13"/>
        <v>0</v>
      </c>
      <c r="I129" s="147" t="str">
        <f t="shared" si="14"/>
        <v>S/P</v>
      </c>
    </row>
    <row r="130" spans="1:9" s="15" customFormat="1" ht="12.75" customHeight="1">
      <c r="A130" s="79"/>
      <c r="B130" s="75" t="str">
        <f>+'Anexo Gastos '!B157</f>
        <v>Material de Oficina</v>
      </c>
      <c r="C130" s="79"/>
      <c r="D130" s="79"/>
      <c r="E130" s="150"/>
      <c r="F130" s="146">
        <f>-'Anexo Gastos '!I157</f>
        <v>0</v>
      </c>
      <c r="G130" s="146"/>
      <c r="H130" s="146">
        <f t="shared" si="13"/>
        <v>0</v>
      </c>
      <c r="I130" s="147" t="str">
        <f t="shared" si="14"/>
        <v>S/P</v>
      </c>
    </row>
    <row r="131" spans="1:9" s="15" customFormat="1" ht="12.75" customHeight="1">
      <c r="A131" s="79"/>
      <c r="B131" s="75" t="str">
        <f>+'Anexo Gastos '!B158</f>
        <v>Cuotas Asociativas</v>
      </c>
      <c r="C131" s="79"/>
      <c r="D131" s="79"/>
      <c r="E131" s="150"/>
      <c r="F131" s="146">
        <f>-'Anexo Gastos '!I158</f>
        <v>0</v>
      </c>
      <c r="G131" s="146"/>
      <c r="H131" s="146">
        <f t="shared" si="13"/>
        <v>0</v>
      </c>
      <c r="I131" s="147" t="str">
        <f t="shared" si="14"/>
        <v>S/P</v>
      </c>
    </row>
    <row r="132" spans="1:9" s="15" customFormat="1" ht="12.75" customHeight="1">
      <c r="A132" s="79"/>
      <c r="B132" s="75" t="str">
        <f>+'Anexo Gastos '!B159</f>
        <v>Comisión Central de Compras</v>
      </c>
      <c r="C132" s="79"/>
      <c r="D132" s="79"/>
      <c r="E132" s="150"/>
      <c r="F132" s="146">
        <f>-'Anexo Gastos '!I159</f>
        <v>0</v>
      </c>
      <c r="G132" s="146"/>
      <c r="H132" s="146">
        <f t="shared" si="13"/>
        <v>0</v>
      </c>
      <c r="I132" s="147" t="str">
        <f t="shared" si="14"/>
        <v>S/P</v>
      </c>
    </row>
    <row r="133" spans="1:9" s="15" customFormat="1" ht="12.75" customHeight="1">
      <c r="A133" s="79"/>
      <c r="B133" s="75" t="str">
        <f>+'Anexo Gastos '!B160</f>
        <v>Protección datos</v>
      </c>
      <c r="C133" s="79"/>
      <c r="D133" s="79"/>
      <c r="E133" s="150"/>
      <c r="F133" s="146">
        <f>-'Anexo Gastos '!I160</f>
        <v>0</v>
      </c>
      <c r="G133" s="146"/>
      <c r="H133" s="146">
        <f t="shared" si="13"/>
        <v>0</v>
      </c>
      <c r="I133" s="147" t="str">
        <f t="shared" si="14"/>
        <v>S/P</v>
      </c>
    </row>
    <row r="134" spans="1:9" s="15" customFormat="1" ht="12.75" customHeight="1">
      <c r="A134" s="79"/>
      <c r="B134" s="75" t="str">
        <f>+'Anexo Gastos '!B161</f>
        <v>Telefonía Fija y Móvil</v>
      </c>
      <c r="C134" s="79"/>
      <c r="D134" s="79"/>
      <c r="E134" s="150"/>
      <c r="F134" s="146">
        <f>-'Anexo Gastos '!I161</f>
        <v>0</v>
      </c>
      <c r="G134" s="146"/>
      <c r="H134" s="146"/>
      <c r="I134" s="147"/>
    </row>
    <row r="135" spans="1:9" s="12" customFormat="1" ht="12.75">
      <c r="A135" s="70" t="s">
        <v>81</v>
      </c>
      <c r="B135" s="70"/>
      <c r="C135" s="70"/>
      <c r="D135" s="70"/>
      <c r="E135" s="71"/>
      <c r="F135" s="72">
        <f>-'Anexo Gastos '!I176</f>
        <v>0</v>
      </c>
      <c r="G135" s="72"/>
      <c r="H135" s="72">
        <f>+G135-F135</f>
        <v>0</v>
      </c>
      <c r="I135" s="73" t="str">
        <f>IF(F135=0,"S/P",+H135/F135)</f>
        <v>S/P</v>
      </c>
    </row>
    <row r="136" spans="1:9" s="15" customFormat="1" ht="12.75" customHeight="1">
      <c r="A136" s="79"/>
      <c r="B136" s="75" t="s">
        <v>82</v>
      </c>
      <c r="C136" s="79"/>
      <c r="D136" s="79"/>
      <c r="E136" s="80"/>
      <c r="F136" s="81"/>
      <c r="G136" s="84"/>
      <c r="H136" s="84"/>
      <c r="I136" s="84"/>
    </row>
    <row r="137" spans="1:9" s="12" customFormat="1" ht="12.75" hidden="1">
      <c r="A137" s="70" t="s">
        <v>185</v>
      </c>
      <c r="B137" s="70"/>
      <c r="C137" s="70"/>
      <c r="D137" s="70"/>
      <c r="E137" s="71"/>
      <c r="F137" s="72">
        <v>0</v>
      </c>
      <c r="G137" s="72"/>
      <c r="H137" s="72">
        <f>+G137-F137</f>
        <v>0</v>
      </c>
      <c r="I137" s="73" t="str">
        <f>IF(F137=0,"S/P",+H137/F137)</f>
        <v>S/P</v>
      </c>
    </row>
    <row r="138" spans="1:9" s="15" customFormat="1" ht="12.75" hidden="1" customHeight="1">
      <c r="A138" s="79"/>
      <c r="B138" s="75" t="s">
        <v>84</v>
      </c>
      <c r="C138" s="79"/>
      <c r="D138" s="79"/>
      <c r="E138" s="80"/>
      <c r="F138" s="81"/>
      <c r="G138" s="84"/>
      <c r="H138" s="84"/>
      <c r="I138" s="84"/>
    </row>
    <row r="139" spans="1:9" s="12" customFormat="1" ht="12.75" hidden="1">
      <c r="A139" s="70" t="s">
        <v>85</v>
      </c>
      <c r="B139" s="70"/>
      <c r="C139" s="70"/>
      <c r="D139" s="70"/>
      <c r="E139" s="71"/>
      <c r="F139" s="72"/>
      <c r="G139" s="72"/>
      <c r="H139" s="72">
        <f>+G139-F139</f>
        <v>0</v>
      </c>
      <c r="I139" s="73" t="str">
        <f>IF(F139=0,"S/P",+H139/F139)</f>
        <v>S/P</v>
      </c>
    </row>
    <row r="140" spans="1:9" s="15" customFormat="1" ht="12.75" hidden="1" customHeight="1">
      <c r="A140" s="79"/>
      <c r="B140" s="75" t="s">
        <v>86</v>
      </c>
      <c r="C140" s="79"/>
      <c r="D140" s="79"/>
      <c r="E140" s="80"/>
      <c r="F140" s="81"/>
      <c r="G140" s="84"/>
      <c r="H140" s="84"/>
      <c r="I140" s="84"/>
    </row>
    <row r="141" spans="1:9" s="63" customFormat="1" ht="16.5">
      <c r="A141" s="65" t="s">
        <v>87</v>
      </c>
      <c r="B141" s="66"/>
      <c r="C141" s="66"/>
      <c r="D141" s="66"/>
      <c r="E141" s="67"/>
      <c r="F141" s="68">
        <f>+F145+F143</f>
        <v>0</v>
      </c>
      <c r="G141" s="68">
        <f>+SUM(G142:G146)</f>
        <v>0</v>
      </c>
      <c r="H141" s="68">
        <f>+SUM(H142:H146)</f>
        <v>0</v>
      </c>
      <c r="I141" s="69" t="str">
        <f>IF(F141=0,"S/P",+H141/F141)</f>
        <v>S/P</v>
      </c>
    </row>
    <row r="142" spans="1:9" s="63" customFormat="1" ht="9.75" customHeight="1"/>
    <row r="143" spans="1:9" s="12" customFormat="1" ht="12.75">
      <c r="A143" s="70" t="s">
        <v>88</v>
      </c>
      <c r="B143" s="70"/>
      <c r="C143" s="70"/>
      <c r="D143" s="70"/>
      <c r="E143" s="71"/>
      <c r="F143" s="72">
        <f>-'Amort-Sub K'!K7</f>
        <v>0</v>
      </c>
      <c r="G143" s="72"/>
      <c r="H143" s="72">
        <f>+G143-F143</f>
        <v>0</v>
      </c>
      <c r="I143" s="73" t="str">
        <f>IF(F143=0,"S/P",+H143/F143)</f>
        <v>S/P</v>
      </c>
    </row>
    <row r="144" spans="1:9" s="15" customFormat="1" ht="12.75" customHeight="1">
      <c r="A144" s="79"/>
      <c r="B144" s="75" t="s">
        <v>89</v>
      </c>
      <c r="C144" s="79"/>
      <c r="D144" s="79"/>
      <c r="E144" s="80"/>
      <c r="F144" s="81"/>
      <c r="G144" s="84"/>
      <c r="H144" s="84"/>
      <c r="I144" s="84"/>
    </row>
    <row r="145" spans="1:9" s="12" customFormat="1" ht="12.75">
      <c r="A145" s="70" t="s">
        <v>90</v>
      </c>
      <c r="B145" s="70"/>
      <c r="C145" s="70"/>
      <c r="D145" s="70"/>
      <c r="E145" s="71"/>
      <c r="F145" s="72">
        <f>-'Amort-Sub K'!K245</f>
        <v>0</v>
      </c>
      <c r="G145" s="72"/>
      <c r="H145" s="72">
        <f>+G145-F145</f>
        <v>0</v>
      </c>
      <c r="I145" s="73" t="str">
        <f>IF(F145=0,"S/P",+H145/F145)</f>
        <v>S/P</v>
      </c>
    </row>
    <row r="146" spans="1:9" s="15" customFormat="1" ht="12.75" customHeight="1">
      <c r="A146" s="79"/>
      <c r="B146" s="75" t="s">
        <v>89</v>
      </c>
      <c r="C146" s="79"/>
      <c r="D146" s="79"/>
      <c r="E146" s="80"/>
      <c r="F146" s="81"/>
      <c r="G146" s="84"/>
      <c r="H146" s="84"/>
      <c r="I146" s="84"/>
    </row>
    <row r="147" spans="1:9" s="63" customFormat="1" ht="16.5">
      <c r="A147" s="58" t="s">
        <v>222</v>
      </c>
      <c r="B147" s="59"/>
      <c r="C147" s="59"/>
      <c r="D147" s="59"/>
      <c r="E147" s="60"/>
      <c r="F147" s="61">
        <f>+F151+F149</f>
        <v>0</v>
      </c>
      <c r="G147" s="61">
        <f>+SUM(G148:G152)</f>
        <v>0</v>
      </c>
      <c r="H147" s="61">
        <f>+SUM(H148:H152)</f>
        <v>0</v>
      </c>
      <c r="I147" s="62" t="str">
        <f>IF(F147=0,"S/P",+H147/F147)</f>
        <v>S/P</v>
      </c>
    </row>
    <row r="148" spans="1:9" s="63" customFormat="1" ht="9.75" customHeight="1"/>
    <row r="149" spans="1:9" s="12" customFormat="1" ht="12.75">
      <c r="A149" s="341" t="s">
        <v>223</v>
      </c>
      <c r="B149" s="341"/>
      <c r="C149" s="341"/>
      <c r="D149" s="341"/>
      <c r="E149" s="342"/>
      <c r="F149" s="343">
        <f>'Amort-Sub K'!S7+'Amort-Sub K'!S245</f>
        <v>0</v>
      </c>
      <c r="G149" s="343"/>
      <c r="H149" s="343">
        <f>+G149-F149</f>
        <v>0</v>
      </c>
      <c r="I149" s="344" t="str">
        <f>IF(F149=0,"S/P",+H149/F149)</f>
        <v>S/P</v>
      </c>
    </row>
    <row r="150" spans="1:9" s="15" customFormat="1" ht="12.75" customHeight="1">
      <c r="B150" s="25" t="s">
        <v>159</v>
      </c>
      <c r="E150" s="46"/>
      <c r="F150" s="84"/>
      <c r="G150" s="84"/>
      <c r="H150" s="84"/>
      <c r="I150" s="84"/>
    </row>
    <row r="151" spans="1:9" s="12" customFormat="1" ht="12.75" hidden="1">
      <c r="A151" s="341" t="s">
        <v>224</v>
      </c>
      <c r="B151" s="341"/>
      <c r="C151" s="341"/>
      <c r="D151" s="341"/>
      <c r="E151" s="342"/>
      <c r="F151" s="343"/>
      <c r="G151" s="343"/>
      <c r="H151" s="343">
        <f>+G151-F151</f>
        <v>0</v>
      </c>
      <c r="I151" s="344" t="str">
        <f>IF(F151=0,"S/P",+H151/F151)</f>
        <v>S/P</v>
      </c>
    </row>
    <row r="152" spans="1:9" s="15" customFormat="1" ht="12.75" hidden="1" customHeight="1">
      <c r="B152" s="25" t="s">
        <v>159</v>
      </c>
      <c r="E152" s="46"/>
      <c r="F152" s="84"/>
      <c r="G152" s="84"/>
      <c r="H152" s="84"/>
      <c r="I152" s="84"/>
    </row>
    <row r="153" spans="1:9" s="63" customFormat="1" ht="16.5" hidden="1">
      <c r="A153" s="58" t="s">
        <v>95</v>
      </c>
      <c r="B153" s="59"/>
      <c r="C153" s="59"/>
      <c r="D153" s="59"/>
      <c r="E153" s="60"/>
      <c r="F153" s="61">
        <f>+F155</f>
        <v>0</v>
      </c>
      <c r="G153" s="61">
        <f>+G155</f>
        <v>0</v>
      </c>
      <c r="H153" s="61">
        <f>+H155</f>
        <v>0</v>
      </c>
      <c r="I153" s="62" t="str">
        <f>IF(F153=0,"S/P",+H153/F153)</f>
        <v>S/P</v>
      </c>
    </row>
    <row r="154" spans="1:9" s="63" customFormat="1" ht="9.75" hidden="1" customHeight="1"/>
    <row r="155" spans="1:9" s="12" customFormat="1" ht="12.75" hidden="1">
      <c r="A155" s="341" t="s">
        <v>96</v>
      </c>
      <c r="B155" s="341"/>
      <c r="C155" s="341"/>
      <c r="D155" s="341"/>
      <c r="E155" s="342"/>
      <c r="F155" s="343"/>
      <c r="G155" s="343"/>
      <c r="H155" s="343">
        <f>+G155-F155</f>
        <v>0</v>
      </c>
      <c r="I155" s="344" t="str">
        <f>IF(F155=0,"S/P",+H155/F155)</f>
        <v>S/P</v>
      </c>
    </row>
    <row r="156" spans="1:9" s="15" customFormat="1" ht="12.75" hidden="1" customHeight="1">
      <c r="B156" s="25" t="s">
        <v>97</v>
      </c>
      <c r="E156" s="46"/>
      <c r="F156" s="84"/>
      <c r="G156" s="84"/>
      <c r="H156" s="84"/>
      <c r="I156" s="84"/>
    </row>
    <row r="157" spans="1:9" s="63" customFormat="1" ht="16.5" hidden="1">
      <c r="A157" s="108" t="s">
        <v>225</v>
      </c>
      <c r="B157" s="109"/>
      <c r="C157" s="109"/>
      <c r="D157" s="109"/>
      <c r="E157" s="110"/>
      <c r="F157" s="111">
        <f>+F161+F159</f>
        <v>0</v>
      </c>
      <c r="G157" s="111">
        <f>+G159+G161</f>
        <v>0</v>
      </c>
      <c r="H157" s="111">
        <f>+H159+H161</f>
        <v>0</v>
      </c>
      <c r="I157" s="143" t="str">
        <f>IF(F157=0,"S/P",+H157/F157)</f>
        <v>S/P</v>
      </c>
    </row>
    <row r="158" spans="1:9" s="63" customFormat="1" ht="9.75" hidden="1" customHeight="1">
      <c r="A158" s="112"/>
      <c r="B158" s="112"/>
      <c r="C158" s="112"/>
      <c r="D158" s="112"/>
      <c r="E158" s="112"/>
      <c r="F158" s="112"/>
      <c r="G158" s="112"/>
      <c r="H158" s="112"/>
      <c r="I158" s="112"/>
    </row>
    <row r="159" spans="1:9" s="12" customFormat="1" ht="12.75" hidden="1">
      <c r="A159" s="113" t="s">
        <v>191</v>
      </c>
      <c r="B159" s="113"/>
      <c r="C159" s="113"/>
      <c r="D159" s="113"/>
      <c r="E159" s="114"/>
      <c r="F159" s="115"/>
      <c r="G159" s="115"/>
      <c r="H159" s="115">
        <f>+G159-F159</f>
        <v>0</v>
      </c>
      <c r="I159" s="144" t="str">
        <f>IF(F159=0,"S/P",+H159/F159)</f>
        <v>S/P</v>
      </c>
    </row>
    <row r="160" spans="1:9" s="15" customFormat="1" ht="12.75" hidden="1" customHeight="1">
      <c r="A160" s="121"/>
      <c r="B160" s="117" t="s">
        <v>226</v>
      </c>
      <c r="C160" s="121"/>
      <c r="D160" s="121"/>
      <c r="E160" s="122"/>
      <c r="F160" s="123"/>
      <c r="G160" s="123"/>
      <c r="H160" s="123"/>
      <c r="I160" s="123"/>
    </row>
    <row r="161" spans="1:9" s="12" customFormat="1" ht="12.75" hidden="1">
      <c r="A161" s="113" t="s">
        <v>101</v>
      </c>
      <c r="B161" s="113"/>
      <c r="C161" s="113"/>
      <c r="D161" s="113"/>
      <c r="E161" s="114"/>
      <c r="F161" s="115"/>
      <c r="G161" s="115"/>
      <c r="H161" s="115">
        <f>+G161-F161</f>
        <v>0</v>
      </c>
      <c r="I161" s="144" t="str">
        <f>IF(F161=0,"S/P",+H161/F161)</f>
        <v>S/P</v>
      </c>
    </row>
    <row r="162" spans="1:9" s="15" customFormat="1" ht="12.75" hidden="1" customHeight="1">
      <c r="A162" s="121"/>
      <c r="B162" s="117" t="s">
        <v>162</v>
      </c>
      <c r="C162" s="121"/>
      <c r="D162" s="121"/>
      <c r="E162" s="122"/>
      <c r="F162" s="123"/>
      <c r="G162" s="84"/>
      <c r="H162" s="84"/>
      <c r="I162" s="84"/>
    </row>
    <row r="163" spans="1:9" s="63" customFormat="1" ht="16.5">
      <c r="A163" s="124" t="s">
        <v>163</v>
      </c>
      <c r="B163" s="125"/>
      <c r="C163" s="125"/>
      <c r="D163" s="125"/>
      <c r="E163" s="126"/>
      <c r="F163" s="127" t="e">
        <f>+F2+F95+F103+F141+F25+F38+F48+F52+F56+F83+F147+F153+F157</f>
        <v>#N/A</v>
      </c>
      <c r="G163" s="127">
        <f>+G2+G25+G38+G48+G52+G56+G83+G95+G103+G141+G147+G153+G157</f>
        <v>0</v>
      </c>
      <c r="H163" s="127" t="e">
        <f>+H2+H25+H38+H48+H52+H56+H83+H95+H103+H141+H147+H153+H157</f>
        <v>#N/A</v>
      </c>
      <c r="I163" s="127" t="e">
        <f>IF(F163=0,"S/P",+H163/F163)</f>
        <v>#N/A</v>
      </c>
    </row>
    <row r="164" spans="1:9" s="63" customFormat="1" ht="10.5" hidden="1" customHeight="1"/>
    <row r="165" spans="1:9" s="63" customFormat="1" ht="16.5" hidden="1">
      <c r="A165" s="58" t="s">
        <v>104</v>
      </c>
      <c r="B165" s="59"/>
      <c r="C165" s="59"/>
      <c r="D165" s="59"/>
      <c r="E165" s="60"/>
      <c r="F165" s="61">
        <f>+SUM(F167:F173)</f>
        <v>0</v>
      </c>
      <c r="G165" s="61">
        <f>+SUM(G166:G174)</f>
        <v>0</v>
      </c>
      <c r="H165" s="61">
        <f>+SUM(H166:H174)</f>
        <v>0</v>
      </c>
      <c r="I165" s="62" t="str">
        <f>IF(F165=0,"S/P",+H165/F165)</f>
        <v>S/P</v>
      </c>
    </row>
    <row r="166" spans="1:9" s="63" customFormat="1" ht="9.75" hidden="1" customHeight="1"/>
    <row r="167" spans="1:9" s="12" customFormat="1" ht="12.75" hidden="1">
      <c r="A167" s="341" t="s">
        <v>105</v>
      </c>
      <c r="B167" s="341"/>
      <c r="C167" s="341"/>
      <c r="D167" s="341"/>
      <c r="E167" s="342"/>
      <c r="F167" s="343">
        <f>+'Anexo Ingresos'!I97</f>
        <v>0</v>
      </c>
      <c r="G167" s="343"/>
      <c r="H167" s="343">
        <f>+G167-F167</f>
        <v>0</v>
      </c>
      <c r="I167" s="344" t="str">
        <f>IF(F167=0,"S/P",+H167/F167)</f>
        <v>S/P</v>
      </c>
    </row>
    <row r="168" spans="1:9" s="15" customFormat="1" ht="12.75" hidden="1" customHeight="1">
      <c r="B168" s="25" t="s">
        <v>106</v>
      </c>
      <c r="E168" s="46"/>
      <c r="F168" s="84"/>
      <c r="G168" s="84"/>
      <c r="H168" s="84"/>
      <c r="I168" s="84"/>
    </row>
    <row r="169" spans="1:9" s="12" customFormat="1" ht="12.75" hidden="1">
      <c r="A169" s="341" t="s">
        <v>107</v>
      </c>
      <c r="B169" s="341"/>
      <c r="C169" s="341"/>
      <c r="D169" s="341"/>
      <c r="E169" s="342"/>
      <c r="F169" s="343">
        <f>+'Anexo Ingresos'!I103</f>
        <v>0</v>
      </c>
      <c r="G169" s="343"/>
      <c r="H169" s="343">
        <f>+G169-F169</f>
        <v>0</v>
      </c>
      <c r="I169" s="344" t="str">
        <f>IF(F169=0,"S/P",+H169/F169)</f>
        <v>S/P</v>
      </c>
    </row>
    <row r="170" spans="1:9" s="15" customFormat="1" ht="12.75" hidden="1" customHeight="1">
      <c r="B170" s="25" t="s">
        <v>108</v>
      </c>
      <c r="E170" s="46"/>
      <c r="F170" s="84"/>
      <c r="G170" s="84"/>
      <c r="H170" s="84"/>
      <c r="I170" s="84"/>
    </row>
    <row r="171" spans="1:9" s="12" customFormat="1" ht="12.75" hidden="1">
      <c r="A171" s="341" t="s">
        <v>109</v>
      </c>
      <c r="B171" s="341"/>
      <c r="C171" s="341"/>
      <c r="D171" s="341"/>
      <c r="E171" s="342"/>
      <c r="F171" s="343">
        <f>+'Anexo Ingresos'!I115</f>
        <v>0</v>
      </c>
      <c r="G171" s="343"/>
      <c r="H171" s="343">
        <f>+G171-F171</f>
        <v>0</v>
      </c>
      <c r="I171" s="344" t="str">
        <f>IF(F171=0,"S/P",+H171/F171)</f>
        <v>S/P</v>
      </c>
    </row>
    <row r="172" spans="1:9" s="15" customFormat="1" ht="12.75" hidden="1" customHeight="1">
      <c r="B172" s="25" t="s">
        <v>110</v>
      </c>
      <c r="E172" s="46"/>
      <c r="F172" s="84"/>
      <c r="G172" s="84"/>
      <c r="H172" s="84"/>
      <c r="I172" s="84"/>
    </row>
    <row r="173" spans="1:9" s="12" customFormat="1" ht="12.75" hidden="1">
      <c r="A173" s="341" t="s">
        <v>111</v>
      </c>
      <c r="B173" s="341"/>
      <c r="C173" s="341"/>
      <c r="D173" s="341"/>
      <c r="E173" s="342"/>
      <c r="F173" s="343">
        <f>+'Anexo Ingresos'!I121</f>
        <v>0</v>
      </c>
      <c r="G173" s="343"/>
      <c r="H173" s="343">
        <f>+G173-F173</f>
        <v>0</v>
      </c>
      <c r="I173" s="344" t="str">
        <f>IF(F173=0,"S/P",+H173/F173)</f>
        <v>S/P</v>
      </c>
    </row>
    <row r="174" spans="1:9" s="15" customFormat="1" ht="12.75" hidden="1" customHeight="1">
      <c r="B174" s="25" t="s">
        <v>112</v>
      </c>
      <c r="E174" s="46"/>
      <c r="F174" s="84"/>
      <c r="G174" s="84"/>
      <c r="H174" s="84"/>
      <c r="I174" s="84"/>
    </row>
    <row r="175" spans="1:9" s="133" customFormat="1" ht="16.5" hidden="1">
      <c r="A175" s="128" t="s">
        <v>113</v>
      </c>
      <c r="B175" s="129"/>
      <c r="C175" s="129"/>
      <c r="D175" s="129"/>
      <c r="E175" s="130"/>
      <c r="F175" s="131">
        <f>+SUM(F177:F183)</f>
        <v>0</v>
      </c>
      <c r="G175" s="131">
        <f>+SUM(G176:G184)</f>
        <v>0</v>
      </c>
      <c r="H175" s="131">
        <f>+SUM(H176:H184)</f>
        <v>0</v>
      </c>
      <c r="I175" s="132" t="str">
        <f>IF(F175=0,"S/P",+H175/F175)</f>
        <v>S/P</v>
      </c>
    </row>
    <row r="176" spans="1:9" s="133" customFormat="1" ht="9.75" hidden="1" customHeight="1"/>
    <row r="177" spans="1:9" s="138" customFormat="1" ht="12.75" hidden="1">
      <c r="A177" s="134" t="s">
        <v>227</v>
      </c>
      <c r="B177" s="134"/>
      <c r="C177" s="134"/>
      <c r="D177" s="134"/>
      <c r="E177" s="135"/>
      <c r="F177" s="136">
        <f>-'Anexo Gastos '!I279</f>
        <v>0</v>
      </c>
      <c r="G177" s="136"/>
      <c r="H177" s="136">
        <f>+G177-F177</f>
        <v>0</v>
      </c>
      <c r="I177" s="137" t="str">
        <f>IF(F177=0,"S/P",+H177/F177)</f>
        <v>S/P</v>
      </c>
    </row>
    <row r="178" spans="1:9" s="139" customFormat="1" ht="12.75" hidden="1" customHeight="1">
      <c r="B178" s="140" t="s">
        <v>115</v>
      </c>
      <c r="E178" s="141"/>
      <c r="F178" s="142"/>
      <c r="G178" s="142"/>
      <c r="H178" s="142"/>
      <c r="I178" s="142"/>
    </row>
    <row r="179" spans="1:9" s="138" customFormat="1" ht="12.75" hidden="1">
      <c r="A179" s="134" t="s">
        <v>194</v>
      </c>
      <c r="B179" s="134"/>
      <c r="C179" s="134"/>
      <c r="D179" s="134"/>
      <c r="E179" s="135"/>
      <c r="F179" s="136">
        <f>-'Anexo Gastos '!I285</f>
        <v>0</v>
      </c>
      <c r="G179" s="136"/>
      <c r="H179" s="136">
        <f>+G179-F179</f>
        <v>0</v>
      </c>
      <c r="I179" s="137" t="str">
        <f>IF(F179=0,"S/P",+H179/F179)</f>
        <v>S/P</v>
      </c>
    </row>
    <row r="180" spans="1:9" s="139" customFormat="1" ht="12.75" hidden="1" customHeight="1">
      <c r="B180" s="140" t="s">
        <v>164</v>
      </c>
      <c r="E180" s="141"/>
      <c r="F180" s="142"/>
      <c r="G180" s="142"/>
      <c r="H180" s="142"/>
      <c r="I180" s="142"/>
    </row>
    <row r="181" spans="1:9" s="138" customFormat="1" ht="12.75" hidden="1">
      <c r="A181" s="134" t="s">
        <v>118</v>
      </c>
      <c r="B181" s="134"/>
      <c r="C181" s="134"/>
      <c r="D181" s="134"/>
      <c r="E181" s="135"/>
      <c r="F181" s="136">
        <f>-'Anexo Gastos '!I291</f>
        <v>0</v>
      </c>
      <c r="G181" s="136"/>
      <c r="H181" s="136">
        <f>+G181-F181</f>
        <v>0</v>
      </c>
      <c r="I181" s="137" t="str">
        <f>IF(F181=0,"S/P",+H181/F181)</f>
        <v>S/P</v>
      </c>
    </row>
    <row r="182" spans="1:9" s="139" customFormat="1" ht="12.75" hidden="1" customHeight="1">
      <c r="B182" s="140" t="s">
        <v>119</v>
      </c>
      <c r="E182" s="141"/>
      <c r="F182" s="142"/>
      <c r="G182" s="142"/>
      <c r="H182" s="142"/>
      <c r="I182" s="142"/>
    </row>
    <row r="183" spans="1:9" s="138" customFormat="1" ht="12.75" hidden="1">
      <c r="A183" s="134" t="s">
        <v>228</v>
      </c>
      <c r="B183" s="134"/>
      <c r="C183" s="134"/>
      <c r="D183" s="134"/>
      <c r="E183" s="135"/>
      <c r="F183" s="136">
        <f>-'Anexo Gastos '!I297</f>
        <v>0</v>
      </c>
      <c r="G183" s="136"/>
      <c r="H183" s="136">
        <f>+G183-F183</f>
        <v>0</v>
      </c>
      <c r="I183" s="137" t="str">
        <f>IF(F183=0,"S/P",+H183/F183)</f>
        <v>S/P</v>
      </c>
    </row>
    <row r="184" spans="1:9" s="139" customFormat="1" ht="12.75" hidden="1" customHeight="1">
      <c r="B184" s="140" t="s">
        <v>121</v>
      </c>
      <c r="E184" s="141"/>
      <c r="F184" s="142"/>
      <c r="G184" s="142"/>
      <c r="H184" s="142"/>
      <c r="I184" s="142"/>
    </row>
    <row r="185" spans="1:9" s="63" customFormat="1" ht="16.5" hidden="1">
      <c r="A185" s="108" t="s">
        <v>229</v>
      </c>
      <c r="B185" s="109"/>
      <c r="C185" s="109"/>
      <c r="D185" s="109"/>
      <c r="E185" s="110"/>
      <c r="F185" s="111">
        <f>+F189+F187</f>
        <v>0</v>
      </c>
      <c r="G185" s="111">
        <f>+SUM(G186:G190)</f>
        <v>0</v>
      </c>
      <c r="H185" s="111">
        <f>+SUM(H186:H190)</f>
        <v>0</v>
      </c>
      <c r="I185" s="143" t="str">
        <f>IF(F185=0,"S/P",+H185/F185)</f>
        <v>S/P</v>
      </c>
    </row>
    <row r="186" spans="1:9" s="63" customFormat="1" ht="9.75" hidden="1" customHeight="1"/>
    <row r="187" spans="1:9" s="12" customFormat="1" ht="12.75" hidden="1">
      <c r="A187" s="134" t="s">
        <v>123</v>
      </c>
      <c r="B187" s="134"/>
      <c r="C187" s="341"/>
      <c r="D187" s="341"/>
      <c r="E187" s="342"/>
      <c r="F187" s="343"/>
      <c r="G187" s="136"/>
      <c r="H187" s="136">
        <f>+G187-F187</f>
        <v>0</v>
      </c>
      <c r="I187" s="137" t="str">
        <f>IF(F187=0,"S/P",+H187/F187)</f>
        <v>S/P</v>
      </c>
    </row>
    <row r="188" spans="1:9" s="15" customFormat="1" ht="12.75" hidden="1" customHeight="1">
      <c r="A188" s="139"/>
      <c r="B188" s="140" t="s">
        <v>124</v>
      </c>
      <c r="E188" s="46"/>
      <c r="F188" s="84"/>
      <c r="G188" s="84"/>
      <c r="H188" s="84"/>
      <c r="I188" s="84"/>
    </row>
    <row r="189" spans="1:9" s="12" customFormat="1" ht="12.75" hidden="1">
      <c r="A189" s="341" t="s">
        <v>125</v>
      </c>
      <c r="B189" s="341"/>
      <c r="C189" s="341"/>
      <c r="D189" s="341"/>
      <c r="E189" s="342"/>
      <c r="F189" s="343"/>
      <c r="G189" s="343"/>
      <c r="H189" s="343">
        <f>+G189-F189</f>
        <v>0</v>
      </c>
      <c r="I189" s="344" t="str">
        <f>IF(F189=0,"S/P",+H189/F189)</f>
        <v>S/P</v>
      </c>
    </row>
    <row r="190" spans="1:9" s="15" customFormat="1" ht="12.75" hidden="1" customHeight="1">
      <c r="B190" s="25" t="s">
        <v>230</v>
      </c>
      <c r="E190" s="46"/>
      <c r="F190" s="84"/>
      <c r="G190" s="84"/>
      <c r="H190" s="84"/>
      <c r="I190" s="84"/>
    </row>
    <row r="191" spans="1:9" s="63" customFormat="1" ht="16.5" hidden="1">
      <c r="A191" s="124" t="s">
        <v>127</v>
      </c>
      <c r="B191" s="125"/>
      <c r="C191" s="125"/>
      <c r="D191" s="125"/>
      <c r="E191" s="126"/>
      <c r="F191" s="127">
        <f>+F165+F175+F185</f>
        <v>0</v>
      </c>
      <c r="G191" s="127">
        <f>+G165+G175+G185</f>
        <v>0</v>
      </c>
      <c r="H191" s="127">
        <f>+H165+H175+H185</f>
        <v>0</v>
      </c>
      <c r="I191" s="127" t="str">
        <f>IF(F191=0,"S/P",+H191/F191)</f>
        <v>S/P</v>
      </c>
    </row>
    <row r="192" spans="1:9" s="63" customFormat="1" ht="14.25" customHeight="1"/>
    <row r="193" spans="1:9" s="63" customFormat="1" ht="16.5">
      <c r="A193" s="124" t="s">
        <v>128</v>
      </c>
      <c r="B193" s="125"/>
      <c r="C193" s="125"/>
      <c r="D193" s="125"/>
      <c r="E193" s="126"/>
      <c r="F193" s="127" t="e">
        <f>+F163+F191</f>
        <v>#N/A</v>
      </c>
      <c r="G193" s="127">
        <f>+G163+G191</f>
        <v>0</v>
      </c>
      <c r="H193" s="127" t="e">
        <f>+H163+H191</f>
        <v>#N/A</v>
      </c>
      <c r="I193" s="127" t="e">
        <f>IF(F193=0,"S/P",+H193/F193)</f>
        <v>#N/A</v>
      </c>
    </row>
    <row r="194" spans="1:9" s="63" customFormat="1" ht="20.25" customHeight="1"/>
    <row r="195" spans="1:9" ht="18">
      <c r="A195" s="1"/>
      <c r="F195" s="43"/>
      <c r="G195" s="43"/>
      <c r="H195" s="43"/>
      <c r="I195" s="43"/>
    </row>
    <row r="196" spans="1:9">
      <c r="D196" s="349" t="s">
        <v>129</v>
      </c>
      <c r="F196" s="45" t="s">
        <v>0</v>
      </c>
      <c r="G196" s="45" t="s">
        <v>1</v>
      </c>
      <c r="H196" s="45" t="s">
        <v>2</v>
      </c>
      <c r="I196" s="45" t="s">
        <v>130</v>
      </c>
    </row>
    <row r="197" spans="1:9">
      <c r="D197" s="321" t="s">
        <v>131</v>
      </c>
      <c r="E197" s="322"/>
      <c r="F197" s="88">
        <f>+F2+F25+IF(F48&gt;0,F48,0)+F52+F83+F147+F153+IF(F157&gt;0,F157,0)+F165+IF(F185&gt;0,F185,0)</f>
        <v>0</v>
      </c>
      <c r="G197" s="88">
        <f>+G2+G25+IF(G48&gt;0,G48,0)+G52+G83+G147+G153+IF(G157&gt;0,G157,0)+G165+IF(G185&gt;0,G185,0)</f>
        <v>0</v>
      </c>
      <c r="H197" s="88">
        <f>+G197-E197</f>
        <v>0</v>
      </c>
      <c r="I197" s="151" t="str">
        <f>IF(F197=0,"S/P",+H197/F197)</f>
        <v>S/P</v>
      </c>
    </row>
    <row r="198" spans="1:9">
      <c r="D198" s="321" t="s">
        <v>132</v>
      </c>
      <c r="E198" s="322"/>
      <c r="F198" s="88" t="e">
        <f>-F38-IF(F48&lt;0,F48,0)-F56-F95-F103-F141-IF(F157&lt;0,F157,0)-F175-IF(F185&lt;0,F185,0)</f>
        <v>#N/A</v>
      </c>
      <c r="G198" s="88">
        <f>-G38-IF(G48&lt;0,G48,0)-G56-G95-G103-G141-IF(G157&lt;0,G157,0)-G175-IF(G185&lt;0,G185,0)</f>
        <v>0</v>
      </c>
      <c r="H198" s="88">
        <f t="shared" ref="H198:H199" si="15">+G198-E198</f>
        <v>0</v>
      </c>
      <c r="I198" s="151" t="e">
        <f t="shared" ref="I198:I199" si="16">IF(F198=0,"S/P",+H198/F198)</f>
        <v>#N/A</v>
      </c>
    </row>
    <row r="199" spans="1:9">
      <c r="D199" s="321" t="s">
        <v>133</v>
      </c>
      <c r="E199" s="322"/>
      <c r="F199" s="88" t="e">
        <f>F197-F198</f>
        <v>#N/A</v>
      </c>
      <c r="G199" s="88">
        <f>G197-G198</f>
        <v>0</v>
      </c>
      <c r="H199" s="88">
        <f t="shared" si="15"/>
        <v>0</v>
      </c>
      <c r="I199" s="151" t="e">
        <f t="shared" si="16"/>
        <v>#N/A</v>
      </c>
    </row>
  </sheetData>
  <mergeCells count="3">
    <mergeCell ref="D197:E197"/>
    <mergeCell ref="D198:E198"/>
    <mergeCell ref="D199:E199"/>
  </mergeCells>
  <conditionalFormatting sqref="F163:I163 F193:I193">
    <cfRule type="cellIs" dxfId="13" priority="7" stopIfTrue="1" operator="lessThan">
      <formula>0</formula>
    </cfRule>
  </conditionalFormatting>
  <conditionalFormatting sqref="A193">
    <cfRule type="expression" dxfId="12" priority="6" stopIfTrue="1">
      <formula>$F$193&lt;0</formula>
    </cfRule>
  </conditionalFormatting>
  <conditionalFormatting sqref="A163">
    <cfRule type="expression" dxfId="11" priority="5" stopIfTrue="1">
      <formula>$F$163&lt;0</formula>
    </cfRule>
  </conditionalFormatting>
  <conditionalFormatting sqref="F191:I191">
    <cfRule type="cellIs" dxfId="10" priority="4" stopIfTrue="1" operator="lessThan">
      <formula>0</formula>
    </cfRule>
  </conditionalFormatting>
  <conditionalFormatting sqref="A191">
    <cfRule type="expression" dxfId="9" priority="3" stopIfTrue="1">
      <formula>$F$163&lt;0</formula>
    </cfRule>
  </conditionalFormatting>
  <conditionalFormatting sqref="F193:I193">
    <cfRule type="cellIs" dxfId="8" priority="2" stopIfTrue="1" operator="lessThan">
      <formula>0</formula>
    </cfRule>
  </conditionalFormatting>
  <conditionalFormatting sqref="A193">
    <cfRule type="expression" dxfId="7" priority="1" stopIfTrue="1">
      <formula>$F$163&lt;0</formula>
    </cfRule>
  </conditionalFormatting>
  <pageMargins left="1.8503937007874016" right="0.31496062992125984" top="0.82677165354330717" bottom="0.55118110236220474" header="0.35433070866141736" footer="0.55118110236220474"/>
  <pageSetup paperSize="9" scale="47" orientation="portrait" r:id="rId1"/>
  <headerFooter alignWithMargins="0">
    <oddHeader xml:space="preserve">&amp;C&amp;20Presupuesto Centro 4
2.0XX
</oddHeader>
    <oddFooter>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  <pageSetUpPr fitToPage="1"/>
  </sheetPr>
  <dimension ref="A1:L199"/>
  <sheetViews>
    <sheetView topLeftCell="A58" workbookViewId="0">
      <selection activeCell="K58" sqref="K58"/>
    </sheetView>
  </sheetViews>
  <sheetFormatPr defaultColWidth="11.42578125" defaultRowHeight="15.75"/>
  <cols>
    <col min="4" max="4" width="13.7109375" customWidth="1"/>
    <col min="5" max="5" width="13.5703125" style="6" customWidth="1"/>
    <col min="6" max="6" width="19" style="5" customWidth="1"/>
    <col min="7" max="8" width="17.85546875" style="5" hidden="1" customWidth="1"/>
    <col min="9" max="9" width="9.85546875" style="5" hidden="1" customWidth="1"/>
    <col min="10" max="11" width="12.85546875" bestFit="1" customWidth="1"/>
    <col min="12" max="12" width="15.42578125" bestFit="1" customWidth="1"/>
  </cols>
  <sheetData>
    <row r="1" spans="1:9" ht="20.25" customHeight="1">
      <c r="A1" s="2"/>
      <c r="F1" s="45" t="s">
        <v>0</v>
      </c>
      <c r="G1" s="45" t="s">
        <v>1</v>
      </c>
      <c r="H1" s="45" t="s">
        <v>134</v>
      </c>
      <c r="I1" s="44" t="s">
        <v>3</v>
      </c>
    </row>
    <row r="2" spans="1:9" s="63" customFormat="1" ht="16.5">
      <c r="A2" s="58" t="s">
        <v>4</v>
      </c>
      <c r="B2" s="59"/>
      <c r="C2" s="59"/>
      <c r="D2" s="59"/>
      <c r="E2" s="60"/>
      <c r="F2" s="61">
        <f>+F6+F11+F4+F23</f>
        <v>0</v>
      </c>
      <c r="G2" s="61">
        <f>+G4+G6+G9+G11+G23</f>
        <v>0</v>
      </c>
      <c r="H2" s="61">
        <f>+G2-F2</f>
        <v>0</v>
      </c>
      <c r="I2" s="62" t="str">
        <f>IF(F2=0,"S/P",+H2/F2)</f>
        <v>S/P</v>
      </c>
    </row>
    <row r="3" spans="1:9" ht="10.5" customHeight="1">
      <c r="E3"/>
      <c r="F3" s="43"/>
      <c r="G3" s="46"/>
      <c r="H3" s="46"/>
      <c r="I3" s="47"/>
    </row>
    <row r="4" spans="1:9" s="12" customFormat="1" ht="12.75">
      <c r="A4" s="341" t="s">
        <v>5</v>
      </c>
      <c r="B4" s="341"/>
      <c r="C4" s="341"/>
      <c r="D4" s="341"/>
      <c r="E4" s="342"/>
      <c r="F4" s="343">
        <f>+'Anexo Ingresos'!I33</f>
        <v>0</v>
      </c>
      <c r="G4" s="343"/>
      <c r="H4" s="343">
        <f>+G4-F4</f>
        <v>0</v>
      </c>
      <c r="I4" s="344" t="str">
        <f>IF(F4=0,"S/P",+H4/F4)</f>
        <v>S/P</v>
      </c>
    </row>
    <row r="5" spans="1:9" ht="15" customHeight="1">
      <c r="B5" s="25" t="s">
        <v>216</v>
      </c>
      <c r="E5" s="46"/>
      <c r="F5" s="43"/>
      <c r="G5" s="46"/>
      <c r="H5" s="46"/>
      <c r="I5" s="47"/>
    </row>
    <row r="6" spans="1:9" s="12" customFormat="1" ht="12.75" hidden="1">
      <c r="A6" s="341" t="s">
        <v>7</v>
      </c>
      <c r="B6" s="341"/>
      <c r="C6" s="341"/>
      <c r="D6" s="341"/>
      <c r="E6" s="342"/>
      <c r="F6" s="343">
        <f>+SUM(E7:E8)</f>
        <v>0</v>
      </c>
      <c r="G6" s="343">
        <f>+SUM(G7:G8)</f>
        <v>0</v>
      </c>
      <c r="H6" s="343">
        <f>+H7+H8</f>
        <v>0</v>
      </c>
      <c r="I6" s="344" t="str">
        <f>IF(F6=0,"S/P",+H6/F6)</f>
        <v>S/P</v>
      </c>
    </row>
    <row r="7" spans="1:9" ht="15" hidden="1" customHeight="1">
      <c r="B7" s="25" t="s">
        <v>135</v>
      </c>
      <c r="E7" s="40"/>
      <c r="F7" s="156">
        <v>0</v>
      </c>
      <c r="G7" s="40"/>
      <c r="H7" s="40">
        <f>+G7-F7</f>
        <v>0</v>
      </c>
      <c r="I7" s="148" t="str">
        <f>IF(E7=0,"S/P",+H7/E7)</f>
        <v>S/P</v>
      </c>
    </row>
    <row r="8" spans="1:9" ht="15" hidden="1" customHeight="1">
      <c r="B8" s="25" t="s">
        <v>136</v>
      </c>
      <c r="E8" s="40"/>
      <c r="F8" s="156">
        <v>0</v>
      </c>
      <c r="G8" s="40"/>
      <c r="H8" s="40">
        <f>+G8-F8</f>
        <v>0</v>
      </c>
      <c r="I8" s="148" t="str">
        <f>IF(E8=0,"S/P",+H8/E8)</f>
        <v>S/P</v>
      </c>
    </row>
    <row r="9" spans="1:9" s="12" customFormat="1" ht="12.75" hidden="1">
      <c r="A9" s="341" t="s">
        <v>9</v>
      </c>
      <c r="B9" s="341"/>
      <c r="C9" s="341"/>
      <c r="D9" s="341"/>
      <c r="E9" s="342"/>
      <c r="F9" s="343">
        <f>+'Anexo Ingresos'!I57</f>
        <v>0</v>
      </c>
      <c r="G9" s="343"/>
      <c r="H9" s="343">
        <f>+G9-F9</f>
        <v>0</v>
      </c>
      <c r="I9" s="344" t="str">
        <f>IF(F9=0,"S/P",+H9/F9)</f>
        <v>S/P</v>
      </c>
    </row>
    <row r="10" spans="1:9" ht="15" hidden="1" customHeight="1">
      <c r="B10" s="25" t="s">
        <v>10</v>
      </c>
      <c r="E10" s="46"/>
      <c r="F10" s="43"/>
      <c r="G10" s="46"/>
      <c r="H10" s="46"/>
      <c r="I10" s="47"/>
    </row>
    <row r="11" spans="1:9" s="12" customFormat="1" ht="12.75">
      <c r="A11" s="341" t="s">
        <v>11</v>
      </c>
      <c r="B11" s="341"/>
      <c r="C11" s="341"/>
      <c r="D11" s="341"/>
      <c r="E11" s="342"/>
      <c r="F11" s="343">
        <f>+SUM(F12:F22)</f>
        <v>0</v>
      </c>
      <c r="G11" s="343">
        <f>+SUM(G12:G22)</f>
        <v>0</v>
      </c>
      <c r="H11" s="343">
        <f>+SUM(H12:H22)</f>
        <v>0</v>
      </c>
      <c r="I11" s="344" t="str">
        <f>IF(F11=0,"S/P",+H11/F11)</f>
        <v>S/P</v>
      </c>
    </row>
    <row r="12" spans="1:9" s="64" customFormat="1" ht="15" hidden="1" customHeight="1">
      <c r="A12" s="15"/>
      <c r="B12" s="25">
        <f>+'Anexo Ingresos'!B64</f>
        <v>0</v>
      </c>
      <c r="C12" s="15"/>
      <c r="D12" s="15"/>
      <c r="E12" s="40"/>
      <c r="F12" s="156">
        <f>+'Anexo Ingresos'!K64</f>
        <v>0</v>
      </c>
      <c r="G12" s="156"/>
      <c r="H12" s="40">
        <f t="shared" ref="H12:H22" si="0">+G12-F12</f>
        <v>0</v>
      </c>
      <c r="I12" s="148" t="str">
        <f t="shared" ref="I12:I22" si="1">IF(E12=0,"S/P",+H12/E12)</f>
        <v>S/P</v>
      </c>
    </row>
    <row r="13" spans="1:9" s="64" customFormat="1" ht="15" hidden="1" customHeight="1">
      <c r="A13" s="15"/>
      <c r="B13" s="25">
        <f>+'Anexo Ingresos'!B65</f>
        <v>0</v>
      </c>
      <c r="C13" s="15"/>
      <c r="D13" s="15"/>
      <c r="E13" s="40"/>
      <c r="F13" s="156">
        <f>+'Anexo Ingresos'!K65</f>
        <v>0</v>
      </c>
      <c r="G13" s="156"/>
      <c r="H13" s="40">
        <f t="shared" si="0"/>
        <v>0</v>
      </c>
      <c r="I13" s="148" t="str">
        <f t="shared" si="1"/>
        <v>S/P</v>
      </c>
    </row>
    <row r="14" spans="1:9" s="64" customFormat="1" ht="15" hidden="1" customHeight="1">
      <c r="A14" s="15"/>
      <c r="B14" s="25">
        <f>+'Anexo Ingresos'!B66</f>
        <v>0</v>
      </c>
      <c r="C14" s="15"/>
      <c r="D14" s="15"/>
      <c r="E14" s="40"/>
      <c r="F14" s="156">
        <f>+'Anexo Ingresos'!K66</f>
        <v>0</v>
      </c>
      <c r="G14" s="156"/>
      <c r="H14" s="40">
        <f t="shared" si="0"/>
        <v>0</v>
      </c>
      <c r="I14" s="148" t="str">
        <f t="shared" si="1"/>
        <v>S/P</v>
      </c>
    </row>
    <row r="15" spans="1:9" s="64" customFormat="1" ht="15" hidden="1" customHeight="1">
      <c r="A15" s="15"/>
      <c r="B15" s="25">
        <f>+'Anexo Ingresos'!B67</f>
        <v>0</v>
      </c>
      <c r="C15" s="15"/>
      <c r="D15" s="15"/>
      <c r="E15" s="40"/>
      <c r="F15" s="156">
        <f>+'Anexo Ingresos'!K67</f>
        <v>0</v>
      </c>
      <c r="G15" s="156"/>
      <c r="H15" s="40">
        <f t="shared" si="0"/>
        <v>0</v>
      </c>
      <c r="I15" s="148" t="str">
        <f t="shared" si="1"/>
        <v>S/P</v>
      </c>
    </row>
    <row r="16" spans="1:9" s="64" customFormat="1" ht="15" hidden="1" customHeight="1">
      <c r="A16" s="15"/>
      <c r="B16" s="25">
        <f>+'Anexo Ingresos'!B68</f>
        <v>0</v>
      </c>
      <c r="C16" s="15"/>
      <c r="D16" s="15"/>
      <c r="E16" s="40"/>
      <c r="F16" s="156">
        <f>+'Anexo Ingresos'!K68</f>
        <v>0</v>
      </c>
      <c r="G16" s="156"/>
      <c r="H16" s="40">
        <f t="shared" si="0"/>
        <v>0</v>
      </c>
      <c r="I16" s="148" t="str">
        <f t="shared" si="1"/>
        <v>S/P</v>
      </c>
    </row>
    <row r="17" spans="1:12" s="64" customFormat="1" ht="15" hidden="1" customHeight="1">
      <c r="A17" s="15"/>
      <c r="B17" s="25" t="str">
        <f>+'Anexo Ingresos'!B69</f>
        <v>Administración 6</v>
      </c>
      <c r="C17" s="15"/>
      <c r="D17" s="15"/>
      <c r="E17" s="40"/>
      <c r="F17" s="156">
        <f>+'Anexo Ingresos'!K69</f>
        <v>0</v>
      </c>
      <c r="G17" s="156"/>
      <c r="H17" s="40">
        <f t="shared" si="0"/>
        <v>0</v>
      </c>
      <c r="I17" s="148" t="str">
        <f t="shared" si="1"/>
        <v>S/P</v>
      </c>
      <c r="J17" s="15"/>
      <c r="K17" s="15"/>
      <c r="L17" s="15"/>
    </row>
    <row r="18" spans="1:12" s="64" customFormat="1" ht="15" customHeight="1">
      <c r="A18" s="15"/>
      <c r="B18" s="25" t="str">
        <f>+'Anexo Ingresos'!B73</f>
        <v>Donativos generales</v>
      </c>
      <c r="C18" s="15"/>
      <c r="D18" s="15"/>
      <c r="E18" s="40"/>
      <c r="F18" s="156">
        <f>+'Anexo Ingresos'!K73</f>
        <v>0</v>
      </c>
      <c r="G18" s="156"/>
      <c r="H18" s="40">
        <f t="shared" si="0"/>
        <v>0</v>
      </c>
      <c r="I18" s="148" t="str">
        <f t="shared" si="1"/>
        <v>S/P</v>
      </c>
      <c r="J18" s="15"/>
      <c r="K18" s="15"/>
      <c r="L18" s="15"/>
    </row>
    <row r="19" spans="1:12" s="64" customFormat="1" ht="15" hidden="1" customHeight="1">
      <c r="A19" s="15"/>
      <c r="B19" s="25" t="str">
        <f>+'Anexo Ingresos'!B74</f>
        <v>Fundación José Otero</v>
      </c>
      <c r="C19" s="15"/>
      <c r="D19" s="15"/>
      <c r="E19" s="40"/>
      <c r="F19" s="156">
        <f>+'Anexo Ingresos'!K74</f>
        <v>0</v>
      </c>
      <c r="G19" s="156"/>
      <c r="H19" s="40">
        <f t="shared" si="0"/>
        <v>0</v>
      </c>
      <c r="I19" s="148" t="str">
        <f t="shared" si="1"/>
        <v>S/P</v>
      </c>
      <c r="J19" s="15"/>
      <c r="K19" s="15"/>
      <c r="L19" s="15"/>
    </row>
    <row r="20" spans="1:12" s="64" customFormat="1" ht="15" hidden="1" customHeight="1">
      <c r="A20" s="15"/>
      <c r="B20" s="25" t="str">
        <f>+'Anexo Ingresos'!B75</f>
        <v>Fundación La Caixa</v>
      </c>
      <c r="C20" s="15"/>
      <c r="D20" s="15"/>
      <c r="E20" s="40"/>
      <c r="F20" s="156">
        <f>+'Anexo Ingresos'!K75</f>
        <v>0</v>
      </c>
      <c r="G20" s="156"/>
      <c r="H20" s="40">
        <f t="shared" si="0"/>
        <v>0</v>
      </c>
      <c r="I20" s="148" t="str">
        <f t="shared" si="1"/>
        <v>S/P</v>
      </c>
      <c r="J20" s="15"/>
      <c r="K20" s="15"/>
      <c r="L20" s="15"/>
    </row>
    <row r="21" spans="1:12" s="64" customFormat="1" ht="15" hidden="1" customHeight="1">
      <c r="A21" s="15"/>
      <c r="B21" s="25" t="str">
        <f>+'Anexo Ingresos'!B76</f>
        <v>Colegio de Abogados</v>
      </c>
      <c r="C21" s="15"/>
      <c r="D21" s="15"/>
      <c r="E21" s="40"/>
      <c r="F21" s="156">
        <f>+'Anexo Ingresos'!K76</f>
        <v>0</v>
      </c>
      <c r="G21" s="156"/>
      <c r="H21" s="40">
        <f t="shared" si="0"/>
        <v>0</v>
      </c>
      <c r="I21" s="148" t="str">
        <f t="shared" si="1"/>
        <v>S/P</v>
      </c>
      <c r="J21" s="15"/>
      <c r="K21" s="15"/>
      <c r="L21" s="15"/>
    </row>
    <row r="22" spans="1:12" ht="14.25" hidden="1" customHeight="1">
      <c r="B22" s="25" t="str">
        <f>+'Anexo Ingresos'!B77</f>
        <v>Fund amigo</v>
      </c>
      <c r="E22" s="149"/>
      <c r="F22" s="156">
        <f>+'Anexo Ingresos'!K77</f>
        <v>0</v>
      </c>
      <c r="G22" s="156"/>
      <c r="H22" s="40">
        <f t="shared" si="0"/>
        <v>0</v>
      </c>
      <c r="I22" s="148" t="str">
        <f t="shared" si="1"/>
        <v>S/P</v>
      </c>
    </row>
    <row r="23" spans="1:12" s="12" customFormat="1" ht="12.75" hidden="1">
      <c r="A23" s="341" t="s">
        <v>13</v>
      </c>
      <c r="B23" s="341"/>
      <c r="C23" s="341"/>
      <c r="D23" s="341"/>
      <c r="E23" s="342"/>
      <c r="F23" s="343"/>
      <c r="G23" s="343"/>
      <c r="H23" s="343">
        <f>+G23-F23</f>
        <v>0</v>
      </c>
      <c r="I23" s="344" t="str">
        <f>IF(F23=0,"S/P",+H23/F23)</f>
        <v>S/P</v>
      </c>
      <c r="J23" s="170"/>
      <c r="K23" s="170"/>
      <c r="L23" s="170"/>
    </row>
    <row r="24" spans="1:12" s="64" customFormat="1" ht="15" hidden="1" customHeight="1">
      <c r="A24" s="15"/>
      <c r="B24" s="170" t="s">
        <v>14</v>
      </c>
      <c r="C24" s="15"/>
      <c r="D24" s="15"/>
      <c r="E24" s="46"/>
      <c r="F24" s="153"/>
      <c r="G24" s="46"/>
      <c r="H24" s="46"/>
      <c r="I24" s="47"/>
      <c r="J24" s="15"/>
      <c r="K24" s="15"/>
      <c r="L24" s="15"/>
    </row>
    <row r="25" spans="1:12" s="63" customFormat="1" ht="16.5">
      <c r="A25" s="58" t="s">
        <v>217</v>
      </c>
      <c r="B25" s="59"/>
      <c r="C25" s="59"/>
      <c r="D25" s="59"/>
      <c r="E25" s="60"/>
      <c r="F25" s="61">
        <f>+F27+F33</f>
        <v>0</v>
      </c>
      <c r="G25" s="61">
        <f>+G27+G33</f>
        <v>0</v>
      </c>
      <c r="H25" s="61">
        <f>+G25-F25</f>
        <v>0</v>
      </c>
      <c r="I25" s="62" t="str">
        <f>IF(F25=0,"S/P",+H25/F25)</f>
        <v>S/P</v>
      </c>
      <c r="L25" s="234"/>
    </row>
    <row r="26" spans="1:12" ht="10.5" customHeight="1">
      <c r="E26"/>
      <c r="F26" s="43"/>
      <c r="G26" s="46"/>
      <c r="H26" s="46"/>
      <c r="I26" s="47"/>
    </row>
    <row r="27" spans="1:12" s="12" customFormat="1" ht="12.75" hidden="1">
      <c r="A27" s="341" t="s">
        <v>16</v>
      </c>
      <c r="B27" s="341"/>
      <c r="C27" s="341"/>
      <c r="D27" s="341"/>
      <c r="E27" s="342"/>
      <c r="F27" s="343">
        <f>+SUM(F28:F32)</f>
        <v>0</v>
      </c>
      <c r="G27" s="343">
        <f t="shared" ref="G27:H27" si="2">+SUM(G28:G32)</f>
        <v>0</v>
      </c>
      <c r="H27" s="343">
        <f t="shared" si="2"/>
        <v>0</v>
      </c>
      <c r="I27" s="344" t="str">
        <f>IF(F27=0,"S/P",+H27/F27)</f>
        <v>S/P</v>
      </c>
      <c r="J27" s="170"/>
      <c r="K27" s="170"/>
      <c r="L27" s="170"/>
    </row>
    <row r="28" spans="1:12" ht="15" hidden="1" customHeight="1">
      <c r="B28" s="25">
        <f>+'Anexo Ingresos'!B6</f>
        <v>0</v>
      </c>
      <c r="E28" s="40"/>
      <c r="F28" s="156">
        <f>+'Anexo Ingresos'!K6</f>
        <v>0</v>
      </c>
      <c r="G28" s="40"/>
      <c r="H28" s="40">
        <f>+G28-F28</f>
        <v>0</v>
      </c>
      <c r="I28" s="148" t="str">
        <f>IF(E28=0,"S/P",+G28/E28)</f>
        <v>S/P</v>
      </c>
    </row>
    <row r="29" spans="1:12" ht="15" hidden="1" customHeight="1">
      <c r="B29" s="25" t="s">
        <v>231</v>
      </c>
      <c r="E29" s="40"/>
      <c r="F29" s="156">
        <f>+'Anexo Ingresos'!K7</f>
        <v>0</v>
      </c>
      <c r="G29" s="40"/>
      <c r="H29" s="40">
        <f>+G29-F29</f>
        <v>0</v>
      </c>
      <c r="I29" s="148" t="str">
        <f>IF(E29=0,"S/P",+G29/E29)</f>
        <v>S/P</v>
      </c>
    </row>
    <row r="30" spans="1:12" ht="15" hidden="1" customHeight="1">
      <c r="B30" s="25" t="s">
        <v>232</v>
      </c>
      <c r="E30" s="40"/>
      <c r="F30" s="156">
        <f>+'Anexo Ingresos'!K8</f>
        <v>0</v>
      </c>
      <c r="G30" s="40"/>
      <c r="H30" s="40">
        <f>+G30-F30</f>
        <v>0</v>
      </c>
      <c r="I30" s="148" t="str">
        <f>IF(E30=0,"S/P",+G30/E30)</f>
        <v>S/P</v>
      </c>
    </row>
    <row r="31" spans="1:12" ht="15" hidden="1" customHeight="1">
      <c r="B31" s="25" t="s">
        <v>233</v>
      </c>
      <c r="E31" s="40"/>
      <c r="F31" s="156">
        <f>+'Anexo Ingresos'!K9</f>
        <v>0</v>
      </c>
      <c r="G31" s="40"/>
      <c r="H31" s="40">
        <f>+G31-F31</f>
        <v>0</v>
      </c>
      <c r="I31" s="148" t="str">
        <f>IF(E31=0,"S/P",+G31/E31)</f>
        <v>S/P</v>
      </c>
    </row>
    <row r="32" spans="1:12" ht="15" hidden="1" customHeight="1">
      <c r="B32" s="25" t="s">
        <v>233</v>
      </c>
      <c r="E32" s="40"/>
      <c r="F32" s="156">
        <f>+'Anexo Ingresos'!K10</f>
        <v>0</v>
      </c>
      <c r="G32" s="40"/>
      <c r="H32" s="40">
        <f>+G32-F32</f>
        <v>0</v>
      </c>
      <c r="I32" s="148" t="str">
        <f>IF(E32=0,"S/P",+G32/E32)</f>
        <v>S/P</v>
      </c>
    </row>
    <row r="33" spans="1:9" s="12" customFormat="1" ht="12.75">
      <c r="A33" s="341" t="s">
        <v>18</v>
      </c>
      <c r="B33" s="341"/>
      <c r="C33" s="341"/>
      <c r="D33" s="341"/>
      <c r="E33" s="342"/>
      <c r="F33" s="343">
        <f>+SUM(F34:F37)</f>
        <v>0</v>
      </c>
      <c r="G33" s="343">
        <f t="shared" ref="G33:H33" si="3">+SUM(G34:G37)</f>
        <v>0</v>
      </c>
      <c r="H33" s="343">
        <f t="shared" si="3"/>
        <v>0</v>
      </c>
      <c r="I33" s="344" t="str">
        <f>IF(F33=0,"S/P",+H33/F33)</f>
        <v>S/P</v>
      </c>
    </row>
    <row r="34" spans="1:9" ht="15" hidden="1" customHeight="1">
      <c r="B34" s="25">
        <f>+'Anexo Ingresos'!B18</f>
        <v>0</v>
      </c>
      <c r="E34" s="40"/>
      <c r="F34" s="156">
        <f>+'Anexo Ingresos'!K18</f>
        <v>0</v>
      </c>
      <c r="G34" s="40"/>
      <c r="H34" s="40">
        <f t="shared" ref="H34:H37" si="4">+G34-F34</f>
        <v>0</v>
      </c>
      <c r="I34" s="148" t="str">
        <f>IF(E34=0,"S/P",+G34/E34)</f>
        <v>S/P</v>
      </c>
    </row>
    <row r="35" spans="1:9" ht="15" customHeight="1">
      <c r="B35" s="25">
        <f>+'Anexo Ingresos'!B19</f>
        <v>0</v>
      </c>
      <c r="E35" s="40"/>
      <c r="F35" s="156">
        <f>+'Anexo Ingresos'!K19</f>
        <v>0</v>
      </c>
      <c r="G35" s="40"/>
      <c r="H35" s="40">
        <f t="shared" si="4"/>
        <v>0</v>
      </c>
      <c r="I35" s="148" t="str">
        <f>IF(E35=0,"S/P",+G35/E35)</f>
        <v>S/P</v>
      </c>
    </row>
    <row r="36" spans="1:9" ht="15" customHeight="1">
      <c r="B36" s="25">
        <f>+'Anexo Ingresos'!B20</f>
        <v>0</v>
      </c>
      <c r="E36" s="40"/>
      <c r="F36" s="156">
        <f>+'Anexo Ingresos'!K20</f>
        <v>0</v>
      </c>
      <c r="G36" s="40"/>
      <c r="H36" s="40">
        <f t="shared" si="4"/>
        <v>0</v>
      </c>
      <c r="I36" s="148" t="str">
        <f>IF(E36=0,"S/P",+G36/E36)</f>
        <v>S/P</v>
      </c>
    </row>
    <row r="37" spans="1:9" ht="15" hidden="1" customHeight="1">
      <c r="B37" s="25">
        <f>+'Anexo Ingresos'!B22</f>
        <v>0</v>
      </c>
      <c r="E37" s="40"/>
      <c r="F37" s="156">
        <f>+'Anexo Ingresos'!K22</f>
        <v>0</v>
      </c>
      <c r="G37" s="40"/>
      <c r="H37" s="40">
        <f t="shared" si="4"/>
        <v>0</v>
      </c>
      <c r="I37" s="148" t="str">
        <f>IF(E37=0,"S/P",+G37/E37)</f>
        <v>S/P</v>
      </c>
    </row>
    <row r="38" spans="1:9" s="63" customFormat="1" ht="16.5" hidden="1">
      <c r="A38" s="65" t="s">
        <v>20</v>
      </c>
      <c r="B38" s="66"/>
      <c r="C38" s="66"/>
      <c r="D38" s="66"/>
      <c r="E38" s="67"/>
      <c r="F38" s="68">
        <f>+SUM(F40:F47)</f>
        <v>0</v>
      </c>
      <c r="G38" s="68">
        <f>+SUM(G39:G47)</f>
        <v>0</v>
      </c>
      <c r="H38" s="68">
        <f>+SUM(H39:H47)</f>
        <v>0</v>
      </c>
      <c r="I38" s="69" t="str">
        <f>IF(F38=0,"S/P",+H38/F38)</f>
        <v>S/P</v>
      </c>
    </row>
    <row r="39" spans="1:9" s="63" customFormat="1" ht="9.75" hidden="1" customHeight="1"/>
    <row r="40" spans="1:9" s="12" customFormat="1" ht="12.75" hidden="1">
      <c r="A40" s="70" t="s">
        <v>21</v>
      </c>
      <c r="B40" s="70"/>
      <c r="C40" s="70"/>
      <c r="D40" s="70"/>
      <c r="E40" s="71"/>
      <c r="F40" s="72">
        <f>-'Anexo Gastos '!K199-'Anexo Gastos '!K205-'Anexo Gastos '!K211-'Anexo Gastos '!K217</f>
        <v>0</v>
      </c>
      <c r="G40" s="72"/>
      <c r="H40" s="72">
        <f>+G40-F40</f>
        <v>0</v>
      </c>
      <c r="I40" s="73" t="str">
        <f>IF(F40=0,"S/P",+H40/F40)</f>
        <v>S/P</v>
      </c>
    </row>
    <row r="41" spans="1:9" ht="12.75" hidden="1" customHeight="1">
      <c r="A41" s="74"/>
      <c r="B41" s="75" t="s">
        <v>22</v>
      </c>
      <c r="C41" s="74"/>
      <c r="D41" s="74"/>
      <c r="E41" s="76"/>
      <c r="F41" s="77"/>
      <c r="G41" s="78"/>
      <c r="H41" s="78"/>
      <c r="I41" s="78"/>
    </row>
    <row r="42" spans="1:9" s="12" customFormat="1" ht="12.75" hidden="1">
      <c r="A42" s="70" t="s">
        <v>23</v>
      </c>
      <c r="B42" s="70"/>
      <c r="C42" s="70"/>
      <c r="D42" s="70"/>
      <c r="E42" s="71"/>
      <c r="F42" s="72">
        <f>-'Anexo Gastos '!K227-'Anexo Gastos '!K233-'Anexo Gastos '!K239-'Anexo Gastos '!K245</f>
        <v>0</v>
      </c>
      <c r="G42" s="72"/>
      <c r="H42" s="72">
        <f>+G42-F42</f>
        <v>0</v>
      </c>
      <c r="I42" s="73" t="str">
        <f>IF(F42=0,"S/P",+H42/F42)</f>
        <v>S/P</v>
      </c>
    </row>
    <row r="43" spans="1:9" ht="12.75" hidden="1" customHeight="1">
      <c r="A43" s="74"/>
      <c r="B43" s="75" t="s">
        <v>24</v>
      </c>
      <c r="C43" s="74"/>
      <c r="D43" s="74"/>
      <c r="E43" s="76"/>
      <c r="F43" s="77"/>
      <c r="G43" s="78"/>
      <c r="H43" s="78"/>
      <c r="I43" s="78"/>
    </row>
    <row r="44" spans="1:9" s="12" customFormat="1" ht="12.75" hidden="1">
      <c r="A44" s="70" t="s">
        <v>25</v>
      </c>
      <c r="B44" s="70"/>
      <c r="C44" s="70"/>
      <c r="D44" s="70"/>
      <c r="E44" s="71"/>
      <c r="F44" s="72">
        <f>-'Anexo Gastos '!K257</f>
        <v>0</v>
      </c>
      <c r="G44" s="72"/>
      <c r="H44" s="72">
        <f>+G44-F44</f>
        <v>0</v>
      </c>
      <c r="I44" s="73" t="str">
        <f>IF(F44=0,"S/P",+H44/F44)</f>
        <v>S/P</v>
      </c>
    </row>
    <row r="45" spans="1:9" ht="12.75" hidden="1" customHeight="1">
      <c r="A45" s="74"/>
      <c r="B45" s="75" t="s">
        <v>26</v>
      </c>
      <c r="C45" s="74"/>
      <c r="D45" s="74"/>
      <c r="E45" s="76"/>
      <c r="F45" s="77"/>
      <c r="G45" s="78"/>
      <c r="H45" s="78"/>
      <c r="I45" s="78"/>
    </row>
    <row r="46" spans="1:9" s="12" customFormat="1" ht="12.75" hidden="1">
      <c r="A46" s="70" t="s">
        <v>27</v>
      </c>
      <c r="B46" s="70"/>
      <c r="C46" s="70"/>
      <c r="D46" s="70"/>
      <c r="E46" s="71"/>
      <c r="F46" s="72">
        <f>-'Anexo Gastos '!K269</f>
        <v>0</v>
      </c>
      <c r="G46" s="72"/>
      <c r="H46" s="72">
        <f>+G46-F46</f>
        <v>0</v>
      </c>
      <c r="I46" s="73" t="str">
        <f>IF(F46=0,"S/P",+H46/F46)</f>
        <v>S/P</v>
      </c>
    </row>
    <row r="47" spans="1:9" ht="12.75" hidden="1" customHeight="1">
      <c r="A47" s="74"/>
      <c r="B47" s="75" t="s">
        <v>28</v>
      </c>
      <c r="C47" s="74"/>
      <c r="D47" s="74"/>
      <c r="E47" s="76"/>
      <c r="F47" s="77"/>
      <c r="G47" s="78"/>
      <c r="H47" s="78"/>
      <c r="I47" s="78"/>
    </row>
    <row r="48" spans="1:9" s="63" customFormat="1" ht="16.5" hidden="1">
      <c r="A48" s="108" t="s">
        <v>29</v>
      </c>
      <c r="B48" s="109"/>
      <c r="C48" s="109"/>
      <c r="D48" s="109"/>
      <c r="E48" s="110"/>
      <c r="F48" s="111">
        <f>+F50</f>
        <v>0</v>
      </c>
      <c r="G48" s="111">
        <f>+G50</f>
        <v>0</v>
      </c>
      <c r="H48" s="111">
        <f>+G48-F48</f>
        <v>0</v>
      </c>
      <c r="I48" s="143" t="str">
        <f>IF(F48=0,"S/P",+H48/F48)</f>
        <v>S/P</v>
      </c>
    </row>
    <row r="49" spans="1:11" s="63" customFormat="1" ht="9.75" hidden="1" customHeight="1">
      <c r="A49" s="112"/>
      <c r="B49" s="112"/>
      <c r="C49" s="112"/>
      <c r="D49" s="112"/>
      <c r="E49" s="112"/>
      <c r="F49" s="112"/>
      <c r="G49" s="112"/>
      <c r="H49" s="112"/>
      <c r="I49" s="112"/>
    </row>
    <row r="50" spans="1:11" s="12" customFormat="1" ht="12.75" hidden="1">
      <c r="A50" s="113" t="s">
        <v>30</v>
      </c>
      <c r="B50" s="113"/>
      <c r="C50" s="113"/>
      <c r="D50" s="113"/>
      <c r="E50" s="114"/>
      <c r="F50" s="115"/>
      <c r="G50" s="115"/>
      <c r="H50" s="115">
        <f>+G50-F50</f>
        <v>0</v>
      </c>
      <c r="I50" s="144" t="str">
        <f>IF(F50=0,"S/P",+H50/F50)</f>
        <v>S/P</v>
      </c>
      <c r="J50" s="170"/>
      <c r="K50" s="170"/>
    </row>
    <row r="51" spans="1:11" ht="12.75" hidden="1" customHeight="1">
      <c r="A51" s="116"/>
      <c r="B51" s="117" t="s">
        <v>31</v>
      </c>
      <c r="C51" s="116"/>
      <c r="D51" s="116"/>
      <c r="E51" s="118"/>
      <c r="F51" s="119"/>
      <c r="G51" s="78"/>
      <c r="H51" s="78"/>
      <c r="I51" s="78"/>
    </row>
    <row r="52" spans="1:11" s="63" customFormat="1" ht="16.5" hidden="1">
      <c r="A52" s="58" t="s">
        <v>174</v>
      </c>
      <c r="B52" s="59"/>
      <c r="C52" s="59"/>
      <c r="D52" s="59"/>
      <c r="E52" s="60"/>
      <c r="F52" s="61">
        <f>+F54</f>
        <v>0</v>
      </c>
      <c r="G52" s="61">
        <f>+G54</f>
        <v>0</v>
      </c>
      <c r="H52" s="61">
        <f>+H54</f>
        <v>0</v>
      </c>
      <c r="I52" s="62" t="str">
        <f>IF(F52=0,"S/P",+H52/F52)</f>
        <v>S/P</v>
      </c>
    </row>
    <row r="53" spans="1:11" s="63" customFormat="1" ht="9.75" hidden="1" customHeight="1"/>
    <row r="54" spans="1:11" s="12" customFormat="1" ht="12.75" hidden="1">
      <c r="A54" s="341" t="s">
        <v>33</v>
      </c>
      <c r="B54" s="341"/>
      <c r="C54" s="341"/>
      <c r="D54" s="341"/>
      <c r="E54" s="342"/>
      <c r="F54" s="343"/>
      <c r="G54" s="343"/>
      <c r="H54" s="343">
        <f>+G54-F54</f>
        <v>0</v>
      </c>
      <c r="I54" s="344" t="str">
        <f>IF(F54=0,"S/P",+H54/F54)</f>
        <v>S/P</v>
      </c>
      <c r="J54" s="170"/>
      <c r="K54" s="170"/>
    </row>
    <row r="55" spans="1:11" ht="12.75" hidden="1" customHeight="1">
      <c r="A55" s="170"/>
      <c r="B55" s="25" t="s">
        <v>34</v>
      </c>
      <c r="C55" s="170"/>
      <c r="D55" s="170"/>
      <c r="E55" s="348"/>
      <c r="F55" s="43"/>
      <c r="G55" s="120"/>
      <c r="H55" s="120"/>
      <c r="I55" s="120"/>
    </row>
    <row r="56" spans="1:11" s="63" customFormat="1" ht="16.5">
      <c r="A56" s="65" t="s">
        <v>35</v>
      </c>
      <c r="B56" s="66"/>
      <c r="C56" s="66"/>
      <c r="D56" s="66"/>
      <c r="E56" s="67"/>
      <c r="F56" s="68">
        <f>+F58+F64+F70+F77</f>
        <v>0</v>
      </c>
      <c r="G56" s="68">
        <f>+SUM(G57:G108)</f>
        <v>0</v>
      </c>
      <c r="H56" s="68">
        <f>+SUM(H57:H108)</f>
        <v>0</v>
      </c>
      <c r="I56" s="69" t="str">
        <f>IF(F56=0,"S/P",+H56/F56)</f>
        <v>S/P</v>
      </c>
    </row>
    <row r="57" spans="1:11" s="63" customFormat="1" ht="9.75" customHeight="1"/>
    <row r="58" spans="1:11" s="12" customFormat="1" ht="12.75">
      <c r="A58" s="70" t="s">
        <v>36</v>
      </c>
      <c r="B58" s="70"/>
      <c r="C58" s="70"/>
      <c r="D58" s="70"/>
      <c r="E58" s="71"/>
      <c r="F58" s="72">
        <f>+SUM(F59:F63)</f>
        <v>0</v>
      </c>
      <c r="G58" s="72">
        <f>+SUM(G59:G63)</f>
        <v>0</v>
      </c>
      <c r="H58" s="72">
        <f>+SUM(H59:H63)</f>
        <v>0</v>
      </c>
      <c r="I58" s="73" t="str">
        <f>IF(F58=0,"S/P",+H58/F58)</f>
        <v>S/P</v>
      </c>
      <c r="J58" s="170"/>
      <c r="K58" s="170" t="s">
        <v>234</v>
      </c>
    </row>
    <row r="59" spans="1:11" s="15" customFormat="1" ht="12.75" customHeight="1">
      <c r="A59" s="79"/>
      <c r="B59" s="75" t="str">
        <f>+'Anexo Gastos '!B6</f>
        <v>Material Actividades</v>
      </c>
      <c r="C59" s="79"/>
      <c r="D59" s="79"/>
      <c r="E59" s="150"/>
      <c r="F59" s="146">
        <f>-'Anexo Gastos '!K6</f>
        <v>0</v>
      </c>
      <c r="G59" s="146"/>
      <c r="H59" s="146">
        <f>+G59-F59</f>
        <v>0</v>
      </c>
      <c r="I59" s="147" t="str">
        <f>IF(E59=0,"S/P",+H59/E59)</f>
        <v>S/P</v>
      </c>
    </row>
    <row r="60" spans="1:11" s="15" customFormat="1" ht="12.75" customHeight="1">
      <c r="A60" s="79"/>
      <c r="B60" s="75" t="str">
        <f>+'Anexo Gastos '!B7</f>
        <v>Viveres</v>
      </c>
      <c r="C60" s="79"/>
      <c r="D60" s="79"/>
      <c r="E60" s="150"/>
      <c r="F60" s="146">
        <f>-'Anexo Gastos '!K7</f>
        <v>0</v>
      </c>
      <c r="G60" s="146"/>
      <c r="H60" s="146">
        <f t="shared" ref="H60:H81" si="5">+G60-F60</f>
        <v>0</v>
      </c>
      <c r="I60" s="147" t="str">
        <f t="shared" ref="I60:I63" si="6">IF(E60=0,"S/P",+H60/E60)</f>
        <v>S/P</v>
      </c>
    </row>
    <row r="61" spans="1:11" s="15" customFormat="1" ht="12.75" hidden="1" customHeight="1">
      <c r="A61" s="79"/>
      <c r="B61" s="75" t="str">
        <f>+'Anexo Gastos '!B8</f>
        <v>Ajuar, Lencería y Menaje</v>
      </c>
      <c r="C61" s="79"/>
      <c r="D61" s="79"/>
      <c r="E61" s="150"/>
      <c r="F61" s="146">
        <f>+'Anexo Gastos '!K8</f>
        <v>0</v>
      </c>
      <c r="G61" s="146"/>
      <c r="H61" s="146">
        <f t="shared" si="5"/>
        <v>0</v>
      </c>
      <c r="I61" s="147" t="str">
        <f t="shared" si="6"/>
        <v>S/P</v>
      </c>
    </row>
    <row r="62" spans="1:11" s="15" customFormat="1" ht="12.75" hidden="1" customHeight="1">
      <c r="A62" s="79"/>
      <c r="B62" s="75">
        <f>+'Anexo Gastos '!B9</f>
        <v>0</v>
      </c>
      <c r="C62" s="79"/>
      <c r="D62" s="79"/>
      <c r="E62" s="150"/>
      <c r="F62" s="146">
        <f>+'Anexo Gastos '!K9</f>
        <v>0</v>
      </c>
      <c r="G62" s="146"/>
      <c r="H62" s="146">
        <f t="shared" si="5"/>
        <v>0</v>
      </c>
      <c r="I62" s="147" t="str">
        <f t="shared" si="6"/>
        <v>S/P</v>
      </c>
    </row>
    <row r="63" spans="1:11" s="15" customFormat="1" ht="12.75" hidden="1" customHeight="1">
      <c r="A63" s="79"/>
      <c r="B63" s="75">
        <f>+'Anexo Gastos '!B10</f>
        <v>0</v>
      </c>
      <c r="C63" s="79"/>
      <c r="D63" s="79"/>
      <c r="E63" s="150"/>
      <c r="F63" s="146">
        <f>+'Anexo Gastos '!K10</f>
        <v>0</v>
      </c>
      <c r="G63" s="146"/>
      <c r="H63" s="146">
        <f t="shared" si="5"/>
        <v>0</v>
      </c>
      <c r="I63" s="147" t="str">
        <f t="shared" si="6"/>
        <v>S/P</v>
      </c>
    </row>
    <row r="64" spans="1:11" s="12" customFormat="1" ht="12.75" hidden="1">
      <c r="A64" s="70" t="s">
        <v>38</v>
      </c>
      <c r="B64" s="70"/>
      <c r="C64" s="70"/>
      <c r="D64" s="70"/>
      <c r="E64" s="71"/>
      <c r="F64" s="72">
        <f>+SUM(F65:F69)</f>
        <v>0</v>
      </c>
      <c r="G64" s="72">
        <f>+SUM(G65:G69)</f>
        <v>0</v>
      </c>
      <c r="H64" s="72">
        <f>+SUM(H65:H69)</f>
        <v>0</v>
      </c>
      <c r="I64" s="73" t="str">
        <f>IF(F64=0,"S/P",+H64/F64)</f>
        <v>S/P</v>
      </c>
      <c r="J64" s="170"/>
      <c r="K64" s="170"/>
    </row>
    <row r="65" spans="1:9" s="15" customFormat="1" ht="12.75" hidden="1" customHeight="1">
      <c r="A65" s="79"/>
      <c r="B65" s="75" t="str">
        <f>+'Anexo Gastos '!B19</f>
        <v>Materias primas talleres</v>
      </c>
      <c r="C65" s="79"/>
      <c r="D65" s="79"/>
      <c r="E65" s="150"/>
      <c r="F65" s="146">
        <f>-'Anexo Gastos '!K19</f>
        <v>0</v>
      </c>
      <c r="G65" s="146"/>
      <c r="H65" s="146">
        <f t="shared" si="5"/>
        <v>0</v>
      </c>
      <c r="I65" s="147" t="str">
        <f>IF(E65=0,"S/P",+H65/E65)</f>
        <v>S/P</v>
      </c>
    </row>
    <row r="66" spans="1:9" s="15" customFormat="1" ht="12.75" hidden="1" customHeight="1">
      <c r="A66" s="79"/>
      <c r="B66" s="75" t="str">
        <f>+'Anexo Gastos '!B20</f>
        <v>Producto 2</v>
      </c>
      <c r="C66" s="79"/>
      <c r="D66" s="79"/>
      <c r="E66" s="150"/>
      <c r="F66" s="146">
        <f>-'Anexo Gastos '!K20</f>
        <v>0</v>
      </c>
      <c r="G66" s="146"/>
      <c r="H66" s="146">
        <f t="shared" si="5"/>
        <v>0</v>
      </c>
      <c r="I66" s="147" t="str">
        <f t="shared" ref="I66:I69" si="7">IF(E66=0,"S/P",+H66/E66)</f>
        <v>S/P</v>
      </c>
    </row>
    <row r="67" spans="1:9" s="15" customFormat="1" ht="12.75" hidden="1" customHeight="1">
      <c r="A67" s="79"/>
      <c r="B67" s="75" t="str">
        <f>+'Anexo Gastos '!B21</f>
        <v>Producto 3</v>
      </c>
      <c r="C67" s="79"/>
      <c r="D67" s="79"/>
      <c r="E67" s="150"/>
      <c r="F67" s="146">
        <f>-'Anexo Gastos '!K21</f>
        <v>0</v>
      </c>
      <c r="G67" s="146"/>
      <c r="H67" s="146">
        <f t="shared" si="5"/>
        <v>0</v>
      </c>
      <c r="I67" s="147" t="str">
        <f t="shared" si="7"/>
        <v>S/P</v>
      </c>
    </row>
    <row r="68" spans="1:9" s="15" customFormat="1" ht="12.75" hidden="1" customHeight="1">
      <c r="A68" s="79"/>
      <c r="B68" s="75" t="str">
        <f>+'Anexo Gastos '!B22</f>
        <v>Producto 4</v>
      </c>
      <c r="C68" s="79"/>
      <c r="D68" s="79"/>
      <c r="E68" s="150"/>
      <c r="F68" s="146">
        <f>-'Anexo Gastos '!K22</f>
        <v>0</v>
      </c>
      <c r="G68" s="146"/>
      <c r="H68" s="146">
        <f t="shared" si="5"/>
        <v>0</v>
      </c>
      <c r="I68" s="147" t="str">
        <f t="shared" si="7"/>
        <v>S/P</v>
      </c>
    </row>
    <row r="69" spans="1:9" s="15" customFormat="1" ht="12.75" hidden="1" customHeight="1">
      <c r="A69" s="79"/>
      <c r="B69" s="75" t="str">
        <f>+'Anexo Gastos '!B23</f>
        <v>Producto 5</v>
      </c>
      <c r="C69" s="79"/>
      <c r="D69" s="79"/>
      <c r="E69" s="150"/>
      <c r="F69" s="146">
        <f>-'Anexo Gastos '!K23</f>
        <v>0</v>
      </c>
      <c r="G69" s="146"/>
      <c r="H69" s="146">
        <f t="shared" si="5"/>
        <v>0</v>
      </c>
      <c r="I69" s="147" t="str">
        <f t="shared" si="7"/>
        <v>S/P</v>
      </c>
    </row>
    <row r="70" spans="1:9" s="12" customFormat="1" ht="12.75">
      <c r="A70" s="70" t="s">
        <v>40</v>
      </c>
      <c r="B70" s="70"/>
      <c r="C70" s="70"/>
      <c r="D70" s="70"/>
      <c r="E70" s="71"/>
      <c r="F70" s="72">
        <f>+SUM(F71:F76)</f>
        <v>0</v>
      </c>
      <c r="G70" s="72">
        <f>+SUM(G71:G74)</f>
        <v>0</v>
      </c>
      <c r="H70" s="72">
        <f>+SUM(H71:H74)</f>
        <v>0</v>
      </c>
      <c r="I70" s="73" t="str">
        <f>IF(F70=0,"S/P",+H70/F70)</f>
        <v>S/P</v>
      </c>
    </row>
    <row r="71" spans="1:9" s="15" customFormat="1" ht="12.75" customHeight="1">
      <c r="A71" s="79"/>
      <c r="B71" s="75" t="str">
        <f>+'Anexo Gastos '!B31</f>
        <v>Material Limpeza y aseo</v>
      </c>
      <c r="C71" s="79"/>
      <c r="D71" s="79"/>
      <c r="E71" s="150"/>
      <c r="F71" s="146">
        <f>-'Anexo Gastos '!K31</f>
        <v>0</v>
      </c>
      <c r="G71" s="146"/>
      <c r="H71" s="146">
        <f t="shared" si="5"/>
        <v>0</v>
      </c>
      <c r="I71" s="147" t="str">
        <f>IF(E71=0,"S/P",+H71/E71)</f>
        <v>S/P</v>
      </c>
    </row>
    <row r="72" spans="1:9" s="15" customFormat="1" ht="12.75" customHeight="1">
      <c r="A72" s="79"/>
      <c r="B72" s="75" t="str">
        <f>+'Anexo Gastos '!B32</f>
        <v>Lavanderia-Compras</v>
      </c>
      <c r="C72" s="79"/>
      <c r="D72" s="79"/>
      <c r="E72" s="150"/>
      <c r="F72" s="146">
        <f>-'Anexo Gastos '!K32</f>
        <v>0</v>
      </c>
      <c r="G72" s="146"/>
      <c r="H72" s="146">
        <f t="shared" si="5"/>
        <v>0</v>
      </c>
      <c r="I72" s="147" t="str">
        <f t="shared" ref="I72:I74" si="8">IF(E72=0,"S/P",+H72/E72)</f>
        <v>S/P</v>
      </c>
    </row>
    <row r="73" spans="1:9" s="15" customFormat="1" ht="12.75" customHeight="1">
      <c r="A73" s="79"/>
      <c r="B73" s="75" t="str">
        <f>+'Anexo Gastos '!B33</f>
        <v>Material Sanitario e Farmaceutico</v>
      </c>
      <c r="C73" s="79"/>
      <c r="D73" s="79"/>
      <c r="E73" s="150"/>
      <c r="F73" s="146">
        <f>-'Anexo Gastos '!K33</f>
        <v>0</v>
      </c>
      <c r="G73" s="146"/>
      <c r="H73" s="146">
        <f t="shared" si="5"/>
        <v>0</v>
      </c>
      <c r="I73" s="147" t="str">
        <f t="shared" si="8"/>
        <v>S/P</v>
      </c>
    </row>
    <row r="74" spans="1:9" s="15" customFormat="1" ht="12.75" customHeight="1">
      <c r="A74" s="79"/>
      <c r="B74" s="75">
        <f>+'Anexo Gastos '!B34</f>
        <v>0</v>
      </c>
      <c r="C74" s="79"/>
      <c r="D74" s="79"/>
      <c r="E74" s="150"/>
      <c r="F74" s="146">
        <f>-'Anexo Gastos '!K34</f>
        <v>0</v>
      </c>
      <c r="G74" s="146"/>
      <c r="H74" s="146">
        <f t="shared" si="5"/>
        <v>0</v>
      </c>
      <c r="I74" s="147" t="str">
        <f t="shared" si="8"/>
        <v>S/P</v>
      </c>
    </row>
    <row r="75" spans="1:9" s="15" customFormat="1" ht="12.75" customHeight="1">
      <c r="A75" s="79"/>
      <c r="B75" s="75">
        <f>+'Anexo Gastos '!B35</f>
        <v>0</v>
      </c>
      <c r="C75" s="79"/>
      <c r="D75" s="79"/>
      <c r="E75" s="150"/>
      <c r="F75" s="146">
        <f>-'Anexo Gastos '!K35</f>
        <v>0</v>
      </c>
      <c r="G75" s="146"/>
      <c r="H75" s="146"/>
      <c r="I75" s="147"/>
    </row>
    <row r="76" spans="1:9" s="15" customFormat="1" ht="12.75" customHeight="1">
      <c r="A76" s="79"/>
      <c r="B76" s="75" t="str">
        <f>+'Anexo Gastos '!B36</f>
        <v>Compras Otros aprovisionamientos</v>
      </c>
      <c r="C76" s="79"/>
      <c r="D76" s="79"/>
      <c r="E76" s="150"/>
      <c r="F76" s="146">
        <f>-'Anexo Gastos '!K36</f>
        <v>0</v>
      </c>
      <c r="G76" s="146"/>
      <c r="H76" s="146"/>
      <c r="I76" s="147"/>
    </row>
    <row r="77" spans="1:9" s="12" customFormat="1" ht="12.75">
      <c r="A77" s="70" t="s">
        <v>42</v>
      </c>
      <c r="B77" s="70"/>
      <c r="C77" s="70"/>
      <c r="D77" s="70"/>
      <c r="E77" s="71"/>
      <c r="F77" s="72">
        <f>+SUM(F78:F82)</f>
        <v>0</v>
      </c>
      <c r="G77" s="72">
        <f>+SUM(G78:G81)</f>
        <v>0</v>
      </c>
      <c r="H77" s="72">
        <f>+SUM(H78:H81)</f>
        <v>0</v>
      </c>
      <c r="I77" s="73" t="str">
        <f>IF(F77=0,"S/P",+H77/F77)</f>
        <v>S/P</v>
      </c>
    </row>
    <row r="78" spans="1:9" s="15" customFormat="1" ht="12.75" hidden="1" customHeight="1">
      <c r="A78" s="79"/>
      <c r="B78" s="75" t="str">
        <f>+'Anexo Gastos '!B44</f>
        <v>Desratización e Higienización</v>
      </c>
      <c r="C78" s="79"/>
      <c r="D78" s="79"/>
      <c r="E78" s="150"/>
      <c r="F78" s="146">
        <f>-'Anexo Gastos '!K44</f>
        <v>0</v>
      </c>
      <c r="G78" s="146"/>
      <c r="H78" s="146">
        <f t="shared" si="5"/>
        <v>0</v>
      </c>
      <c r="I78" s="147" t="str">
        <f>IF(E78=0,"S/P",+H78/E78)</f>
        <v>S/P</v>
      </c>
    </row>
    <row r="79" spans="1:9" s="15" customFormat="1" ht="12.75" customHeight="1">
      <c r="A79" s="79"/>
      <c r="B79" s="75" t="str">
        <f>+'Anexo Gastos '!B45</f>
        <v>Gastos Actividades</v>
      </c>
      <c r="C79" s="79"/>
      <c r="D79" s="79"/>
      <c r="E79" s="150"/>
      <c r="F79" s="146">
        <f>-'Anexo Gastos '!K45</f>
        <v>0</v>
      </c>
      <c r="G79" s="146"/>
      <c r="H79" s="146">
        <f t="shared" si="5"/>
        <v>0</v>
      </c>
      <c r="I79" s="147" t="str">
        <f t="shared" ref="I79:I81" si="9">IF(E79=0,"S/P",+H79/E79)</f>
        <v>S/P</v>
      </c>
    </row>
    <row r="80" spans="1:9" s="15" customFormat="1" ht="12.75" hidden="1" customHeight="1">
      <c r="A80" s="79"/>
      <c r="B80" s="75" t="str">
        <f>+'Anexo Gastos '!B46</f>
        <v>Ajuste social, ocio y tiempo libre</v>
      </c>
      <c r="C80" s="79"/>
      <c r="D80" s="79"/>
      <c r="E80" s="150"/>
      <c r="F80" s="146">
        <f>-'Anexo Gastos '!K46</f>
        <v>0</v>
      </c>
      <c r="G80" s="146"/>
      <c r="H80" s="146">
        <f t="shared" si="5"/>
        <v>0</v>
      </c>
      <c r="I80" s="147" t="str">
        <f t="shared" si="9"/>
        <v>S/P</v>
      </c>
    </row>
    <row r="81" spans="1:12" s="15" customFormat="1" ht="12.75" customHeight="1">
      <c r="A81" s="79"/>
      <c r="B81" s="75" t="str">
        <f>+'Anexo Gastos '!B47</f>
        <v>Gasto Transporte</v>
      </c>
      <c r="C81" s="79"/>
      <c r="D81" s="79"/>
      <c r="E81" s="150"/>
      <c r="F81" s="146">
        <f>-'Anexo Gastos '!K47</f>
        <v>0</v>
      </c>
      <c r="G81" s="146"/>
      <c r="H81" s="146">
        <f t="shared" si="5"/>
        <v>0</v>
      </c>
      <c r="I81" s="147" t="str">
        <f t="shared" si="9"/>
        <v>S/P</v>
      </c>
    </row>
    <row r="82" spans="1:12" s="15" customFormat="1" ht="12.75" customHeight="1">
      <c r="A82" s="79"/>
      <c r="B82" s="75" t="str">
        <f>+'Anexo Gastos '!B48</f>
        <v>Servicios de Lavandería (CEE)</v>
      </c>
      <c r="C82" s="79"/>
      <c r="D82" s="79"/>
      <c r="E82" s="150"/>
      <c r="F82" s="146">
        <f>-'Anexo Gastos '!K48</f>
        <v>0</v>
      </c>
      <c r="G82" s="146"/>
      <c r="H82" s="146"/>
      <c r="I82" s="147"/>
    </row>
    <row r="83" spans="1:12" s="63" customFormat="1" ht="16.5">
      <c r="A83" s="58" t="s">
        <v>44</v>
      </c>
      <c r="B83" s="59"/>
      <c r="C83" s="59"/>
      <c r="D83" s="59"/>
      <c r="E83" s="60"/>
      <c r="F83" s="61">
        <f>+SUM(F85:F94)</f>
        <v>0</v>
      </c>
      <c r="G83" s="61">
        <f>+SUM(G84:G94)</f>
        <v>0</v>
      </c>
      <c r="H83" s="61">
        <f>+SUM(H84:H94)</f>
        <v>0</v>
      </c>
      <c r="I83" s="62" t="str">
        <f>IF(F83=0,"S/P",+H83/F83)</f>
        <v>S/P</v>
      </c>
    </row>
    <row r="84" spans="1:12" s="63" customFormat="1" ht="9.75" customHeight="1"/>
    <row r="85" spans="1:12" s="12" customFormat="1" ht="12.75">
      <c r="A85" s="341" t="s">
        <v>45</v>
      </c>
      <c r="B85" s="341"/>
      <c r="C85" s="341"/>
      <c r="D85" s="341"/>
      <c r="E85" s="342"/>
      <c r="F85" s="343">
        <f>+'Anexo Ingresos'!M87</f>
        <v>0</v>
      </c>
      <c r="G85" s="343"/>
      <c r="H85" s="343">
        <f>+G85-F85</f>
        <v>0</v>
      </c>
      <c r="I85" s="344" t="str">
        <f>IF(F85=0,"S/P",+H85/F85)</f>
        <v>S/P</v>
      </c>
      <c r="J85" s="170"/>
      <c r="K85" s="170"/>
      <c r="L85" s="236" t="s">
        <v>235</v>
      </c>
    </row>
    <row r="86" spans="1:12" s="12" customFormat="1" ht="12.75" customHeight="1">
      <c r="A86" s="170"/>
      <c r="B86" s="25" t="s">
        <v>46</v>
      </c>
      <c r="C86" s="170"/>
      <c r="D86" s="170"/>
      <c r="E86" s="348"/>
      <c r="F86" s="43"/>
      <c r="G86" s="120"/>
      <c r="H86" s="120"/>
      <c r="I86" s="120"/>
      <c r="J86" s="170"/>
      <c r="K86" s="170"/>
      <c r="L86" s="170"/>
    </row>
    <row r="87" spans="1:12" s="12" customFormat="1" ht="12.75" hidden="1">
      <c r="A87" s="341" t="s">
        <v>47</v>
      </c>
      <c r="B87" s="341"/>
      <c r="C87" s="341"/>
      <c r="D87" s="341"/>
      <c r="E87" s="342"/>
      <c r="F87" s="343"/>
      <c r="G87" s="343"/>
      <c r="H87" s="343">
        <f>+G87-F87</f>
        <v>0</v>
      </c>
      <c r="I87" s="344" t="str">
        <f>IF(F87=0,"S/P",+H87/F87)</f>
        <v>S/P</v>
      </c>
      <c r="J87" s="170"/>
      <c r="K87" s="170"/>
      <c r="L87" s="170"/>
    </row>
    <row r="88" spans="1:12" s="12" customFormat="1" ht="12.75" hidden="1" customHeight="1">
      <c r="A88" s="170"/>
      <c r="B88" s="25" t="s">
        <v>48</v>
      </c>
      <c r="C88" s="170"/>
      <c r="D88" s="170"/>
      <c r="E88" s="348"/>
      <c r="F88" s="43"/>
      <c r="G88" s="120"/>
      <c r="H88" s="120"/>
      <c r="I88" s="120"/>
      <c r="J88" s="170"/>
      <c r="K88" s="170"/>
      <c r="L88" s="170"/>
    </row>
    <row r="89" spans="1:12" s="12" customFormat="1" ht="12.75" hidden="1">
      <c r="A89" s="341" t="s">
        <v>176</v>
      </c>
      <c r="B89" s="341"/>
      <c r="C89" s="341"/>
      <c r="D89" s="341"/>
      <c r="E89" s="342"/>
      <c r="F89" s="343"/>
      <c r="G89" s="343"/>
      <c r="H89" s="343">
        <f>+G89-F89</f>
        <v>0</v>
      </c>
      <c r="I89" s="344" t="str">
        <f>IF(F89=0,"S/P",+H89/F89)</f>
        <v>S/P</v>
      </c>
      <c r="J89" s="170"/>
      <c r="K89" s="170"/>
      <c r="L89" s="170"/>
    </row>
    <row r="90" spans="1:12" s="12" customFormat="1" ht="12.75" hidden="1" customHeight="1">
      <c r="A90" s="170"/>
      <c r="B90" s="25" t="s">
        <v>50</v>
      </c>
      <c r="C90" s="170"/>
      <c r="D90" s="170"/>
      <c r="E90" s="348"/>
      <c r="F90" s="43"/>
      <c r="G90" s="120"/>
      <c r="H90" s="120"/>
      <c r="I90" s="120"/>
      <c r="J90" s="170"/>
      <c r="K90" s="170"/>
      <c r="L90" s="170"/>
    </row>
    <row r="91" spans="1:12" s="12" customFormat="1" ht="12.75" hidden="1">
      <c r="A91" s="341" t="s">
        <v>51</v>
      </c>
      <c r="B91" s="341"/>
      <c r="C91" s="341"/>
      <c r="D91" s="341"/>
      <c r="E91" s="342"/>
      <c r="F91" s="343"/>
      <c r="G91" s="343"/>
      <c r="H91" s="343">
        <f>+G91-F91</f>
        <v>0</v>
      </c>
      <c r="I91" s="344" t="str">
        <f>IF(F91=0,"S/P",+H91/F91)</f>
        <v>S/P</v>
      </c>
      <c r="J91" s="170"/>
      <c r="K91" s="170"/>
      <c r="L91" s="170"/>
    </row>
    <row r="92" spans="1:12" s="12" customFormat="1" ht="12.75" hidden="1" customHeight="1">
      <c r="A92" s="170"/>
      <c r="B92" s="25" t="s">
        <v>177</v>
      </c>
      <c r="C92" s="170"/>
      <c r="D92" s="170"/>
      <c r="E92" s="348"/>
      <c r="F92" s="43"/>
      <c r="G92" s="120"/>
      <c r="H92" s="120"/>
      <c r="I92" s="120"/>
      <c r="J92" s="170"/>
      <c r="K92" s="170"/>
      <c r="L92" s="170"/>
    </row>
    <row r="93" spans="1:12" s="12" customFormat="1" ht="12.75" hidden="1">
      <c r="A93" s="341" t="s">
        <v>53</v>
      </c>
      <c r="B93" s="341"/>
      <c r="C93" s="341"/>
      <c r="D93" s="341"/>
      <c r="E93" s="342"/>
      <c r="F93" s="343"/>
      <c r="G93" s="343"/>
      <c r="H93" s="343">
        <f>+G93-F93</f>
        <v>0</v>
      </c>
      <c r="I93" s="344" t="str">
        <f>IF(F93=0,"S/P",+H93/F93)</f>
        <v>S/P</v>
      </c>
      <c r="J93" s="170"/>
      <c r="K93" s="170"/>
      <c r="L93" s="170"/>
    </row>
    <row r="94" spans="1:12" s="12" customFormat="1" ht="12.75" hidden="1" customHeight="1">
      <c r="A94" s="170"/>
      <c r="B94" s="25" t="s">
        <v>54</v>
      </c>
      <c r="C94" s="170"/>
      <c r="D94" s="170"/>
      <c r="E94" s="348"/>
      <c r="F94" s="43"/>
      <c r="G94" s="120"/>
      <c r="H94" s="120"/>
      <c r="I94" s="120"/>
      <c r="J94" s="170"/>
      <c r="K94" s="170"/>
      <c r="L94" s="170"/>
    </row>
    <row r="95" spans="1:12" s="63" customFormat="1" ht="16.5" hidden="1">
      <c r="A95" s="65" t="s">
        <v>55</v>
      </c>
      <c r="B95" s="66"/>
      <c r="C95" s="66"/>
      <c r="D95" s="66"/>
      <c r="E95" s="67"/>
      <c r="F95" s="68">
        <f>+F97+F99+F101</f>
        <v>0</v>
      </c>
      <c r="G95" s="68">
        <f>+SUM(G96:G102)</f>
        <v>0</v>
      </c>
      <c r="H95" s="68">
        <f>+SUM(H96:H102)</f>
        <v>0</v>
      </c>
      <c r="I95" s="69" t="str">
        <f>IF(F95=0,"S/P",+H95/F95)</f>
        <v>S/P</v>
      </c>
    </row>
    <row r="96" spans="1:12" s="63" customFormat="1" ht="9.75" hidden="1" customHeight="1"/>
    <row r="97" spans="1:9" s="12" customFormat="1" ht="12.75" hidden="1">
      <c r="A97" s="70" t="s">
        <v>56</v>
      </c>
      <c r="B97" s="70"/>
      <c r="C97" s="70"/>
      <c r="D97" s="70"/>
      <c r="E97" s="71"/>
      <c r="F97" s="72">
        <v>0</v>
      </c>
      <c r="G97" s="72"/>
      <c r="H97" s="72">
        <f>+G97-F97</f>
        <v>0</v>
      </c>
      <c r="I97" s="73" t="str">
        <f>IF(F97=0,"S/P",+H97/F97)</f>
        <v>S/P</v>
      </c>
    </row>
    <row r="98" spans="1:9" ht="12.75" hidden="1" customHeight="1">
      <c r="A98" s="74"/>
      <c r="B98" s="75" t="s">
        <v>236</v>
      </c>
      <c r="C98" s="74"/>
      <c r="D98" s="74"/>
      <c r="E98" s="76"/>
      <c r="F98" s="77"/>
      <c r="G98" s="78"/>
      <c r="H98" s="78"/>
      <c r="I98" s="78"/>
    </row>
    <row r="99" spans="1:9" s="12" customFormat="1" ht="12.75" hidden="1">
      <c r="A99" s="70" t="s">
        <v>58</v>
      </c>
      <c r="B99" s="70"/>
      <c r="C99" s="70"/>
      <c r="D99" s="70"/>
      <c r="E99" s="71"/>
      <c r="F99" s="72">
        <v>0</v>
      </c>
      <c r="G99" s="72"/>
      <c r="H99" s="72">
        <f>+G99-F99</f>
        <v>0</v>
      </c>
      <c r="I99" s="73" t="str">
        <f>IF(F99=0,"S/P",+H99/F99)</f>
        <v>S/P</v>
      </c>
    </row>
    <row r="100" spans="1:9" ht="12.75" hidden="1" customHeight="1">
      <c r="A100" s="74"/>
      <c r="B100" s="75" t="s">
        <v>237</v>
      </c>
      <c r="C100" s="74"/>
      <c r="D100" s="74"/>
      <c r="E100" s="76"/>
      <c r="F100" s="77"/>
      <c r="G100" s="78"/>
      <c r="H100" s="78"/>
      <c r="I100" s="78"/>
    </row>
    <row r="101" spans="1:9" s="12" customFormat="1" ht="12.75" hidden="1">
      <c r="A101" s="70" t="s">
        <v>60</v>
      </c>
      <c r="B101" s="70"/>
      <c r="C101" s="70"/>
      <c r="D101" s="70"/>
      <c r="E101" s="71"/>
      <c r="F101" s="72">
        <f>-'Anexo Gastos '!K189</f>
        <v>0</v>
      </c>
      <c r="G101" s="72"/>
      <c r="H101" s="72">
        <f>+G101-F101</f>
        <v>0</v>
      </c>
      <c r="I101" s="73" t="str">
        <f>IF(F101=0,"S/P",+H101/F101)</f>
        <v>S/P</v>
      </c>
    </row>
    <row r="102" spans="1:9" ht="12.75" hidden="1" customHeight="1">
      <c r="A102" s="74"/>
      <c r="B102" s="75" t="s">
        <v>61</v>
      </c>
      <c r="C102" s="74"/>
      <c r="D102" s="74"/>
      <c r="E102" s="76"/>
      <c r="F102" s="77"/>
      <c r="G102" s="78"/>
      <c r="H102" s="78"/>
      <c r="I102" s="78"/>
    </row>
    <row r="103" spans="1:9" s="63" customFormat="1" ht="16.5">
      <c r="A103" s="65" t="s">
        <v>62</v>
      </c>
      <c r="B103" s="66"/>
      <c r="C103" s="66"/>
      <c r="D103" s="66"/>
      <c r="E103" s="67"/>
      <c r="F103" s="68">
        <f>+F105+F107+F109+F111+F113+F115+F117+F119+F125+F135+F137+F139</f>
        <v>0</v>
      </c>
      <c r="G103" s="68">
        <f>+G107+G109+G111+G113+G115+G117+G119+G125+G135+G137+G139</f>
        <v>0</v>
      </c>
      <c r="H103" s="68">
        <f>+H107+H109+H111+H113+H115+H117+H119+H125+H135+H137+H139</f>
        <v>0</v>
      </c>
      <c r="I103" s="69" t="str">
        <f>IF(F103=0,"S/P",+H103/F103)</f>
        <v>S/P</v>
      </c>
    </row>
    <row r="104" spans="1:9" s="63" customFormat="1" ht="9.75" customHeight="1"/>
    <row r="105" spans="1:9" s="12" customFormat="1" ht="12.75" hidden="1">
      <c r="A105" s="70" t="s">
        <v>63</v>
      </c>
      <c r="B105" s="70"/>
      <c r="C105" s="70"/>
      <c r="D105" s="70"/>
      <c r="E105" s="71"/>
      <c r="F105" s="72">
        <f>-'Anexo Gastos '!K61</f>
        <v>0</v>
      </c>
      <c r="G105" s="72"/>
      <c r="H105" s="72">
        <f>+G105-F105</f>
        <v>0</v>
      </c>
      <c r="I105" s="73" t="str">
        <f>IF(F105=0,"S/P",+H105/F105)</f>
        <v>S/P</v>
      </c>
    </row>
    <row r="106" spans="1:9" s="15" customFormat="1" ht="12.75" customHeight="1">
      <c r="A106" s="79"/>
      <c r="B106" s="75" t="s">
        <v>182</v>
      </c>
      <c r="C106" s="79"/>
      <c r="D106" s="79"/>
      <c r="E106" s="80"/>
      <c r="F106" s="81"/>
      <c r="G106" s="82"/>
      <c r="H106" s="82"/>
      <c r="I106" s="83"/>
    </row>
    <row r="107" spans="1:9" s="12" customFormat="1" ht="12.75" hidden="1">
      <c r="A107" s="70" t="s">
        <v>65</v>
      </c>
      <c r="B107" s="70"/>
      <c r="C107" s="70"/>
      <c r="D107" s="70"/>
      <c r="E107" s="71"/>
      <c r="F107" s="72">
        <f>-'Anexo Gastos '!K73</f>
        <v>0</v>
      </c>
      <c r="G107" s="72"/>
      <c r="H107" s="72">
        <f>+G107-F107</f>
        <v>0</v>
      </c>
      <c r="I107" s="73" t="str">
        <f>IF(F107=0,"S/P",+H107/F107)</f>
        <v>S/P</v>
      </c>
    </row>
    <row r="108" spans="1:9" s="15" customFormat="1" ht="12.75" hidden="1" customHeight="1">
      <c r="A108" s="79"/>
      <c r="B108" s="75" t="s">
        <v>66</v>
      </c>
      <c r="C108" s="79"/>
      <c r="D108" s="79"/>
      <c r="E108" s="80"/>
      <c r="F108" s="81"/>
      <c r="G108" s="82"/>
      <c r="H108" s="82"/>
      <c r="I108" s="83"/>
    </row>
    <row r="109" spans="1:9" s="12" customFormat="1" ht="12.75" hidden="1">
      <c r="A109" s="70" t="s">
        <v>67</v>
      </c>
      <c r="B109" s="70"/>
      <c r="C109" s="70"/>
      <c r="D109" s="70"/>
      <c r="E109" s="71"/>
      <c r="F109" s="72">
        <f>-'Anexo Gastos '!K85</f>
        <v>0</v>
      </c>
      <c r="G109" s="72"/>
      <c r="H109" s="72">
        <f>+G109-F109</f>
        <v>0</v>
      </c>
      <c r="I109" s="73" t="str">
        <f>IF(F109=0,"S/P",+H109/F109)</f>
        <v>S/P</v>
      </c>
    </row>
    <row r="110" spans="1:9" s="15" customFormat="1" ht="12.75" hidden="1" customHeight="1">
      <c r="A110" s="79"/>
      <c r="B110" s="75" t="s">
        <v>68</v>
      </c>
      <c r="C110" s="79"/>
      <c r="D110" s="79"/>
      <c r="E110" s="80"/>
      <c r="F110" s="81"/>
      <c r="G110" s="82"/>
      <c r="H110" s="82"/>
      <c r="I110" s="83"/>
    </row>
    <row r="111" spans="1:9" s="12" customFormat="1" ht="12.75" hidden="1">
      <c r="A111" s="70" t="s">
        <v>69</v>
      </c>
      <c r="B111" s="70"/>
      <c r="C111" s="70"/>
      <c r="D111" s="70"/>
      <c r="E111" s="71"/>
      <c r="F111" s="72">
        <f>-'Anexo Gastos '!K97</f>
        <v>0</v>
      </c>
      <c r="G111" s="72"/>
      <c r="H111" s="72">
        <f>+G111-F111</f>
        <v>0</v>
      </c>
      <c r="I111" s="73" t="str">
        <f>IF(F111=0,"S/P",+H111/F111)</f>
        <v>S/P</v>
      </c>
    </row>
    <row r="112" spans="1:9" s="15" customFormat="1" ht="12.75" hidden="1" customHeight="1">
      <c r="A112" s="79"/>
      <c r="B112" s="75" t="s">
        <v>183</v>
      </c>
      <c r="C112" s="79"/>
      <c r="D112" s="79"/>
      <c r="E112" s="80"/>
      <c r="F112" s="81"/>
      <c r="G112" s="82"/>
      <c r="H112" s="82"/>
      <c r="I112" s="82"/>
    </row>
    <row r="113" spans="1:9" s="12" customFormat="1" ht="12.75">
      <c r="A113" s="70" t="s">
        <v>71</v>
      </c>
      <c r="B113" s="70"/>
      <c r="C113" s="70"/>
      <c r="D113" s="70"/>
      <c r="E113" s="71"/>
      <c r="F113" s="72">
        <f>-'Anexo Gastos '!K111</f>
        <v>0</v>
      </c>
      <c r="G113" s="72"/>
      <c r="H113" s="72">
        <f>+G113-F113</f>
        <v>0</v>
      </c>
      <c r="I113" s="73" t="str">
        <f>IF(F113=0,"S/P",+H113/F113)</f>
        <v>S/P</v>
      </c>
    </row>
    <row r="114" spans="1:9" s="15" customFormat="1" ht="12.75" customHeight="1">
      <c r="A114" s="79"/>
      <c r="B114" s="75" t="s">
        <v>220</v>
      </c>
      <c r="C114" s="79"/>
      <c r="D114" s="79"/>
      <c r="E114" s="80"/>
      <c r="F114" s="81"/>
      <c r="G114" s="82"/>
      <c r="H114" s="82"/>
      <c r="I114" s="82"/>
    </row>
    <row r="115" spans="1:9" s="12" customFormat="1" ht="12.75" hidden="1">
      <c r="A115" s="70" t="s">
        <v>73</v>
      </c>
      <c r="B115" s="70"/>
      <c r="C115" s="70"/>
      <c r="D115" s="70"/>
      <c r="E115" s="71"/>
      <c r="F115" s="72">
        <f>-'Anexo Gastos '!K123</f>
        <v>0</v>
      </c>
      <c r="G115" s="72"/>
      <c r="H115" s="72">
        <f>+G115-F115</f>
        <v>0</v>
      </c>
      <c r="I115" s="73" t="str">
        <f>IF(F115=0,"S/P",+H115/F115)</f>
        <v>S/P</v>
      </c>
    </row>
    <row r="116" spans="1:9" s="15" customFormat="1" ht="12.75" hidden="1" customHeight="1">
      <c r="A116" s="79"/>
      <c r="B116" s="75" t="s">
        <v>74</v>
      </c>
      <c r="C116" s="79"/>
      <c r="D116" s="79"/>
      <c r="E116" s="80"/>
      <c r="F116" s="81"/>
      <c r="G116" s="82"/>
      <c r="H116" s="82"/>
      <c r="I116" s="82"/>
    </row>
    <row r="117" spans="1:9" s="12" customFormat="1" ht="12.75" hidden="1">
      <c r="A117" s="70" t="s">
        <v>221</v>
      </c>
      <c r="B117" s="70"/>
      <c r="C117" s="70"/>
      <c r="D117" s="70"/>
      <c r="E117" s="71"/>
      <c r="F117" s="72">
        <f>-'Anexo Gastos '!K134</f>
        <v>0</v>
      </c>
      <c r="G117" s="72"/>
      <c r="H117" s="72">
        <f>+G117-F117</f>
        <v>0</v>
      </c>
      <c r="I117" s="73" t="str">
        <f>IF(F117=0,"S/P",+H117/F117)</f>
        <v>S/P</v>
      </c>
    </row>
    <row r="118" spans="1:9" s="15" customFormat="1" ht="12.75" hidden="1" customHeight="1">
      <c r="A118" s="79"/>
      <c r="B118" s="75" t="s">
        <v>76</v>
      </c>
      <c r="C118" s="79"/>
      <c r="D118" s="79"/>
      <c r="E118" s="80"/>
      <c r="F118" s="81"/>
      <c r="G118" s="82"/>
      <c r="H118" s="82"/>
      <c r="I118" s="82"/>
    </row>
    <row r="119" spans="1:9" s="12" customFormat="1" ht="12.75" hidden="1">
      <c r="A119" s="70" t="s">
        <v>77</v>
      </c>
      <c r="B119" s="70"/>
      <c r="C119" s="70"/>
      <c r="D119" s="70"/>
      <c r="E119" s="71"/>
      <c r="F119" s="72">
        <f>+SUM(E120:E124)</f>
        <v>0</v>
      </c>
      <c r="G119" s="72">
        <f>+SUM(G120:G124)</f>
        <v>0</v>
      </c>
      <c r="H119" s="72">
        <f>+SUM(H120:H124)</f>
        <v>0</v>
      </c>
      <c r="I119" s="73" t="str">
        <f>IF(F119=0,"S/P",+H119/F119)</f>
        <v>S/P</v>
      </c>
    </row>
    <row r="120" spans="1:9" s="15" customFormat="1" ht="12.75" hidden="1" customHeight="1">
      <c r="A120" s="79"/>
      <c r="B120" s="75" t="str">
        <f>+'Anexo Gastos '!B141</f>
        <v xml:space="preserve">Luz </v>
      </c>
      <c r="C120" s="79"/>
      <c r="D120" s="79"/>
      <c r="E120" s="150"/>
      <c r="F120" s="146">
        <f>-'Anexo Gastos '!K141</f>
        <v>0</v>
      </c>
      <c r="G120" s="146"/>
      <c r="H120" s="146">
        <f>+G120-F120</f>
        <v>0</v>
      </c>
      <c r="I120" s="147" t="str">
        <f>IF(E120=0,"S/P",+H120/E120)</f>
        <v>S/P</v>
      </c>
    </row>
    <row r="121" spans="1:9" s="15" customFormat="1" ht="12.75" hidden="1" customHeight="1">
      <c r="A121" s="79"/>
      <c r="B121" s="75" t="str">
        <f>+'Anexo Gastos '!B142</f>
        <v>Agua</v>
      </c>
      <c r="C121" s="79"/>
      <c r="D121" s="79"/>
      <c r="E121" s="150"/>
      <c r="F121" s="146">
        <f>-'Anexo Gastos '!K142</f>
        <v>0</v>
      </c>
      <c r="G121" s="146"/>
      <c r="H121" s="146">
        <f t="shared" ref="H121:H133" si="10">+G121-F121</f>
        <v>0</v>
      </c>
      <c r="I121" s="147" t="str">
        <f t="shared" ref="I121:I133" si="11">IF(E121=0,"S/P",+H121/E121)</f>
        <v>S/P</v>
      </c>
    </row>
    <row r="122" spans="1:9" s="15" customFormat="1" ht="12.75" hidden="1" customHeight="1">
      <c r="A122" s="79"/>
      <c r="B122" s="75" t="str">
        <f>+'Anexo Gastos '!B143</f>
        <v>Carburantes Instalaciones</v>
      </c>
      <c r="C122" s="79"/>
      <c r="D122" s="79"/>
      <c r="E122" s="150"/>
      <c r="F122" s="146">
        <f>-'Anexo Gastos '!K143</f>
        <v>0</v>
      </c>
      <c r="G122" s="146"/>
      <c r="H122" s="146">
        <f t="shared" si="10"/>
        <v>0</v>
      </c>
      <c r="I122" s="147" t="str">
        <f t="shared" si="11"/>
        <v>S/P</v>
      </c>
    </row>
    <row r="123" spans="1:9" s="15" customFormat="1" ht="12.75" hidden="1" customHeight="1">
      <c r="A123" s="79"/>
      <c r="B123" s="75" t="str">
        <f>+'Anexo Gastos '!B144</f>
        <v>Carburantes Vehículos</v>
      </c>
      <c r="C123" s="79"/>
      <c r="D123" s="79"/>
      <c r="E123" s="150"/>
      <c r="F123" s="146">
        <f>-'Anexo Gastos '!K144</f>
        <v>0</v>
      </c>
      <c r="G123" s="146"/>
      <c r="H123" s="146">
        <f t="shared" si="10"/>
        <v>0</v>
      </c>
      <c r="I123" s="147" t="str">
        <f t="shared" si="11"/>
        <v>S/P</v>
      </c>
    </row>
    <row r="124" spans="1:9" s="15" customFormat="1" ht="12.75" hidden="1" customHeight="1">
      <c r="A124" s="79"/>
      <c r="B124" s="75" t="str">
        <f>+'Anexo Gastos '!B145</f>
        <v>Otros Suministros</v>
      </c>
      <c r="C124" s="79"/>
      <c r="D124" s="79"/>
      <c r="E124" s="150"/>
      <c r="F124" s="146">
        <f>-'Anexo Gastos '!K145</f>
        <v>0</v>
      </c>
      <c r="G124" s="146"/>
      <c r="H124" s="146">
        <f t="shared" si="10"/>
        <v>0</v>
      </c>
      <c r="I124" s="147" t="str">
        <f t="shared" si="11"/>
        <v>S/P</v>
      </c>
    </row>
    <row r="125" spans="1:9" s="12" customFormat="1" ht="12.75">
      <c r="A125" s="70" t="s">
        <v>79</v>
      </c>
      <c r="B125" s="70"/>
      <c r="C125" s="70"/>
      <c r="D125" s="70"/>
      <c r="E125" s="71"/>
      <c r="F125" s="72">
        <f>+SUM(F126:F134)</f>
        <v>0</v>
      </c>
      <c r="G125" s="72">
        <f>+SUM(G126:G133)</f>
        <v>0</v>
      </c>
      <c r="H125" s="72">
        <f>+SUM(H126:H133)</f>
        <v>0</v>
      </c>
      <c r="I125" s="73" t="str">
        <f>IF(F125=0,"S/P",+H125/F125)</f>
        <v>S/P</v>
      </c>
    </row>
    <row r="126" spans="1:9" s="15" customFormat="1" ht="12.75" hidden="1" customHeight="1">
      <c r="A126" s="79"/>
      <c r="B126" s="75" t="str">
        <f>+'Anexo Gastos '!B153</f>
        <v>Correos e Mensaxería</v>
      </c>
      <c r="C126" s="79"/>
      <c r="D126" s="79"/>
      <c r="E126" s="150"/>
      <c r="F126" s="146">
        <f>-'Anexo Gastos '!K153</f>
        <v>0</v>
      </c>
      <c r="G126" s="146"/>
      <c r="H126" s="146">
        <f t="shared" si="10"/>
        <v>0</v>
      </c>
      <c r="I126" s="147" t="str">
        <f t="shared" si="11"/>
        <v>S/P</v>
      </c>
    </row>
    <row r="127" spans="1:9" s="15" customFormat="1" ht="12.75" hidden="1" customHeight="1">
      <c r="A127" s="79"/>
      <c r="B127" s="75" t="str">
        <f>+'Anexo Gastos '!B154</f>
        <v>Asesoría e Auditoría</v>
      </c>
      <c r="C127" s="79"/>
      <c r="D127" s="79"/>
      <c r="E127" s="150"/>
      <c r="F127" s="146">
        <f>-'Anexo Gastos '!K154</f>
        <v>0</v>
      </c>
      <c r="G127" s="146"/>
      <c r="H127" s="146">
        <f t="shared" si="10"/>
        <v>0</v>
      </c>
      <c r="I127" s="147" t="str">
        <f t="shared" si="11"/>
        <v>S/P</v>
      </c>
    </row>
    <row r="128" spans="1:9" s="15" customFormat="1" ht="12.75" hidden="1" customHeight="1">
      <c r="A128" s="79"/>
      <c r="B128" s="75" t="str">
        <f>+'Anexo Gastos '!B155</f>
        <v>Gastos de Viaje</v>
      </c>
      <c r="C128" s="79"/>
      <c r="D128" s="79"/>
      <c r="E128" s="150"/>
      <c r="F128" s="146">
        <f>-'Anexo Gastos '!K155</f>
        <v>0</v>
      </c>
      <c r="G128" s="146"/>
      <c r="H128" s="146">
        <f t="shared" si="10"/>
        <v>0</v>
      </c>
      <c r="I128" s="147" t="str">
        <f t="shared" si="11"/>
        <v>S/P</v>
      </c>
    </row>
    <row r="129" spans="1:9" s="15" customFormat="1" ht="12.75" hidden="1" customHeight="1">
      <c r="A129" s="79"/>
      <c r="B129" s="75" t="str">
        <f>+'Anexo Gastos '!B156</f>
        <v>Comunidad de Vecinos</v>
      </c>
      <c r="C129" s="79"/>
      <c r="D129" s="79"/>
      <c r="E129" s="150"/>
      <c r="F129" s="146">
        <f>-'Anexo Gastos '!K156</f>
        <v>0</v>
      </c>
      <c r="G129" s="146"/>
      <c r="H129" s="146">
        <f t="shared" si="10"/>
        <v>0</v>
      </c>
      <c r="I129" s="147" t="str">
        <f t="shared" si="11"/>
        <v>S/P</v>
      </c>
    </row>
    <row r="130" spans="1:9" s="15" customFormat="1" ht="12.75" hidden="1" customHeight="1">
      <c r="A130" s="79"/>
      <c r="B130" s="75" t="str">
        <f>+'Anexo Gastos '!B157</f>
        <v>Material de Oficina</v>
      </c>
      <c r="C130" s="79"/>
      <c r="D130" s="79"/>
      <c r="E130" s="150"/>
      <c r="F130" s="146">
        <f>-'Anexo Gastos '!K157</f>
        <v>0</v>
      </c>
      <c r="G130" s="146"/>
      <c r="H130" s="146">
        <f t="shared" si="10"/>
        <v>0</v>
      </c>
      <c r="I130" s="147" t="str">
        <f t="shared" si="11"/>
        <v>S/P</v>
      </c>
    </row>
    <row r="131" spans="1:9" s="15" customFormat="1" ht="12.75" customHeight="1">
      <c r="A131" s="79"/>
      <c r="B131" s="75" t="str">
        <f>+'Anexo Gastos '!B158</f>
        <v>Cuotas Asociativas</v>
      </c>
      <c r="C131" s="79"/>
      <c r="D131" s="79"/>
      <c r="E131" s="150"/>
      <c r="F131" s="146">
        <f>-'Anexo Gastos '!K158</f>
        <v>0</v>
      </c>
      <c r="G131" s="146"/>
      <c r="H131" s="146">
        <f t="shared" si="10"/>
        <v>0</v>
      </c>
      <c r="I131" s="147" t="str">
        <f t="shared" si="11"/>
        <v>S/P</v>
      </c>
    </row>
    <row r="132" spans="1:9" s="15" customFormat="1" ht="12.75" hidden="1" customHeight="1">
      <c r="A132" s="79"/>
      <c r="B132" s="75" t="str">
        <f>+'Anexo Gastos '!B159</f>
        <v>Comisión Central de Compras</v>
      </c>
      <c r="C132" s="79"/>
      <c r="D132" s="79"/>
      <c r="E132" s="150"/>
      <c r="F132" s="146">
        <f>-'Anexo Gastos '!K159</f>
        <v>0</v>
      </c>
      <c r="G132" s="146"/>
      <c r="H132" s="146">
        <f t="shared" si="10"/>
        <v>0</v>
      </c>
      <c r="I132" s="147" t="str">
        <f t="shared" si="11"/>
        <v>S/P</v>
      </c>
    </row>
    <row r="133" spans="1:9" s="15" customFormat="1" ht="12.75" hidden="1" customHeight="1">
      <c r="A133" s="79"/>
      <c r="B133" s="75" t="str">
        <f>+'Anexo Gastos '!B160</f>
        <v>Protección datos</v>
      </c>
      <c r="C133" s="79"/>
      <c r="D133" s="79"/>
      <c r="E133" s="150"/>
      <c r="F133" s="146">
        <f>-'Anexo Gastos '!K160</f>
        <v>0</v>
      </c>
      <c r="G133" s="146"/>
      <c r="H133" s="146">
        <f t="shared" si="10"/>
        <v>0</v>
      </c>
      <c r="I133" s="147" t="str">
        <f t="shared" si="11"/>
        <v>S/P</v>
      </c>
    </row>
    <row r="134" spans="1:9" s="15" customFormat="1" ht="12.75" hidden="1" customHeight="1">
      <c r="A134" s="79"/>
      <c r="B134" s="75">
        <f>+'Anexo Gastos '!B162</f>
        <v>0</v>
      </c>
      <c r="C134" s="79"/>
      <c r="D134" s="79"/>
      <c r="E134" s="150"/>
      <c r="F134" s="146">
        <f>-'Anexo Gastos '!K162</f>
        <v>0</v>
      </c>
      <c r="G134" s="146"/>
      <c r="H134" s="146"/>
      <c r="I134" s="147"/>
    </row>
    <row r="135" spans="1:9" s="12" customFormat="1" ht="12.75">
      <c r="A135" s="70" t="s">
        <v>81</v>
      </c>
      <c r="B135" s="70"/>
      <c r="C135" s="70"/>
      <c r="D135" s="70"/>
      <c r="E135" s="71"/>
      <c r="F135" s="72">
        <f>-'Anexo Gastos '!K176</f>
        <v>0</v>
      </c>
      <c r="G135" s="72"/>
      <c r="H135" s="72">
        <f>+G135-F135</f>
        <v>0</v>
      </c>
      <c r="I135" s="73" t="str">
        <f>IF(F135=0,"S/P",+H135/F135)</f>
        <v>S/P</v>
      </c>
    </row>
    <row r="136" spans="1:9" s="15" customFormat="1" ht="12.75" hidden="1" customHeight="1">
      <c r="A136" s="79"/>
      <c r="B136" s="75" t="s">
        <v>82</v>
      </c>
      <c r="C136" s="79"/>
      <c r="D136" s="79"/>
      <c r="E136" s="80"/>
      <c r="F136" s="81"/>
      <c r="G136" s="84"/>
      <c r="H136" s="84"/>
      <c r="I136" s="84"/>
    </row>
    <row r="137" spans="1:9" s="12" customFormat="1" ht="1.5" hidden="1" customHeight="1">
      <c r="A137" s="70" t="s">
        <v>185</v>
      </c>
      <c r="B137" s="70"/>
      <c r="C137" s="70"/>
      <c r="D137" s="70"/>
      <c r="E137" s="71"/>
      <c r="F137" s="72">
        <v>0</v>
      </c>
      <c r="G137" s="72"/>
      <c r="H137" s="72">
        <f>+G137-F137</f>
        <v>0</v>
      </c>
      <c r="I137" s="73" t="str">
        <f>IF(F137=0,"S/P",+H137/F137)</f>
        <v>S/P</v>
      </c>
    </row>
    <row r="138" spans="1:9" s="15" customFormat="1" ht="12.75" hidden="1" customHeight="1">
      <c r="A138" s="79"/>
      <c r="B138" s="75" t="s">
        <v>84</v>
      </c>
      <c r="C138" s="79"/>
      <c r="D138" s="79"/>
      <c r="E138" s="80"/>
      <c r="F138" s="81"/>
      <c r="G138" s="84"/>
      <c r="H138" s="84"/>
      <c r="I138" s="84"/>
    </row>
    <row r="139" spans="1:9" s="12" customFormat="1" ht="12.75" hidden="1">
      <c r="A139" s="70" t="s">
        <v>85</v>
      </c>
      <c r="B139" s="70"/>
      <c r="C139" s="70"/>
      <c r="D139" s="70"/>
      <c r="E139" s="71"/>
      <c r="F139" s="72"/>
      <c r="G139" s="72"/>
      <c r="H139" s="72">
        <f>+G139-F139</f>
        <v>0</v>
      </c>
      <c r="I139" s="73" t="str">
        <f>IF(F139=0,"S/P",+H139/F139)</f>
        <v>S/P</v>
      </c>
    </row>
    <row r="140" spans="1:9" s="15" customFormat="1" ht="12.75" hidden="1" customHeight="1">
      <c r="A140" s="79"/>
      <c r="B140" s="75" t="s">
        <v>86</v>
      </c>
      <c r="C140" s="79"/>
      <c r="D140" s="79"/>
      <c r="E140" s="80"/>
      <c r="F140" s="81"/>
      <c r="G140" s="84"/>
      <c r="H140" s="84"/>
      <c r="I140" s="84"/>
    </row>
    <row r="141" spans="1:9" s="63" customFormat="1" ht="16.5">
      <c r="A141" s="65" t="s">
        <v>87</v>
      </c>
      <c r="B141" s="66"/>
      <c r="C141" s="66"/>
      <c r="D141" s="66"/>
      <c r="E141" s="67"/>
      <c r="F141" s="68">
        <f>+F145+F143</f>
        <v>0</v>
      </c>
      <c r="G141" s="68">
        <f>+SUM(G142:G146)</f>
        <v>0</v>
      </c>
      <c r="H141" s="68">
        <f>+SUM(H142:H146)</f>
        <v>0</v>
      </c>
      <c r="I141" s="69" t="str">
        <f>IF(F141=0,"S/P",+H141/F141)</f>
        <v>S/P</v>
      </c>
    </row>
    <row r="142" spans="1:9" s="63" customFormat="1" ht="9.75" hidden="1" customHeight="1"/>
    <row r="143" spans="1:9" s="12" customFormat="1" ht="12.75" hidden="1">
      <c r="A143" s="70" t="s">
        <v>88</v>
      </c>
      <c r="B143" s="70"/>
      <c r="C143" s="70"/>
      <c r="D143" s="70"/>
      <c r="E143" s="71"/>
      <c r="F143" s="72">
        <f>-'Amort-Sub K'!L7</f>
        <v>0</v>
      </c>
      <c r="G143" s="72"/>
      <c r="H143" s="72">
        <f>+G143-F143</f>
        <v>0</v>
      </c>
      <c r="I143" s="73" t="str">
        <f>IF(F143=0,"S/P",+H143/F143)</f>
        <v>S/P</v>
      </c>
    </row>
    <row r="144" spans="1:9" s="15" customFormat="1" ht="12.75" hidden="1" customHeight="1">
      <c r="A144" s="79"/>
      <c r="B144" s="75" t="s">
        <v>89</v>
      </c>
      <c r="C144" s="79"/>
      <c r="D144" s="79"/>
      <c r="E144" s="80"/>
      <c r="F144" s="81"/>
      <c r="G144" s="84"/>
      <c r="H144" s="84"/>
      <c r="I144" s="84"/>
    </row>
    <row r="145" spans="1:12" s="12" customFormat="1" ht="12.75">
      <c r="A145" s="70" t="s">
        <v>90</v>
      </c>
      <c r="B145" s="70"/>
      <c r="C145" s="70"/>
      <c r="D145" s="70"/>
      <c r="E145" s="71"/>
      <c r="F145" s="72">
        <f>-'Amort-Sub K'!L245</f>
        <v>0</v>
      </c>
      <c r="G145" s="72"/>
      <c r="H145" s="72">
        <f>+G145-F145</f>
        <v>0</v>
      </c>
      <c r="I145" s="73" t="str">
        <f>IF(F145=0,"S/P",+H145/F145)</f>
        <v>S/P</v>
      </c>
      <c r="J145" s="170"/>
      <c r="K145" s="170"/>
      <c r="L145" s="170"/>
    </row>
    <row r="146" spans="1:12" s="15" customFormat="1" ht="12.75" customHeight="1">
      <c r="A146" s="79"/>
      <c r="B146" s="75" t="s">
        <v>89</v>
      </c>
      <c r="C146" s="79"/>
      <c r="D146" s="79"/>
      <c r="E146" s="80"/>
      <c r="F146" s="81"/>
      <c r="G146" s="84"/>
      <c r="H146" s="84"/>
      <c r="I146" s="84"/>
    </row>
    <row r="147" spans="1:12" s="63" customFormat="1" ht="16.5">
      <c r="A147" s="58" t="s">
        <v>222</v>
      </c>
      <c r="B147" s="59"/>
      <c r="C147" s="59"/>
      <c r="D147" s="59"/>
      <c r="E147" s="60"/>
      <c r="F147" s="61">
        <f>+F151+F149</f>
        <v>0</v>
      </c>
      <c r="G147" s="61">
        <f>+SUM(G148:G152)</f>
        <v>0</v>
      </c>
      <c r="H147" s="61">
        <f>+SUM(H148:H152)</f>
        <v>0</v>
      </c>
      <c r="I147" s="62" t="str">
        <f>IF(F147=0,"S/P",+H147/F147)</f>
        <v>S/P</v>
      </c>
    </row>
    <row r="148" spans="1:12" s="63" customFormat="1" ht="9.75" customHeight="1">
      <c r="A148" s="63" t="s">
        <v>235</v>
      </c>
    </row>
    <row r="149" spans="1:12" s="12" customFormat="1" ht="12.75" hidden="1">
      <c r="A149" s="341" t="s">
        <v>223</v>
      </c>
      <c r="B149" s="341"/>
      <c r="C149" s="341"/>
      <c r="D149" s="341"/>
      <c r="E149" s="342"/>
      <c r="F149" s="343"/>
      <c r="G149" s="343"/>
      <c r="H149" s="343">
        <f>+G149-F149</f>
        <v>0</v>
      </c>
      <c r="I149" s="344" t="str">
        <f>IF(F149=0,"S/P",+H149/F149)</f>
        <v>S/P</v>
      </c>
      <c r="J149" s="170"/>
      <c r="K149" s="170"/>
      <c r="L149" s="170"/>
    </row>
    <row r="150" spans="1:12" s="15" customFormat="1" ht="12.75" hidden="1" customHeight="1">
      <c r="B150" s="25" t="s">
        <v>159</v>
      </c>
      <c r="E150" s="46"/>
      <c r="F150" s="81"/>
      <c r="G150" s="84"/>
      <c r="H150" s="84"/>
      <c r="I150" s="84"/>
    </row>
    <row r="151" spans="1:12" s="12" customFormat="1" ht="12.75">
      <c r="A151" s="341" t="s">
        <v>224</v>
      </c>
      <c r="B151" s="341"/>
      <c r="C151" s="341"/>
      <c r="D151" s="341"/>
      <c r="E151" s="342"/>
      <c r="F151" s="343">
        <f>'Amort-Sub K'!T7+'Amort-Sub K'!T245</f>
        <v>0</v>
      </c>
      <c r="G151" s="343"/>
      <c r="H151" s="343">
        <f>+G151-F151</f>
        <v>0</v>
      </c>
      <c r="I151" s="344" t="str">
        <f>IF(F151=0,"S/P",+H151/F151)</f>
        <v>S/P</v>
      </c>
      <c r="J151" s="170"/>
      <c r="K151" s="170"/>
      <c r="L151" s="236"/>
    </row>
    <row r="152" spans="1:12" s="15" customFormat="1" ht="12.75" customHeight="1">
      <c r="B152" s="25" t="s">
        <v>159</v>
      </c>
      <c r="E152" s="46"/>
      <c r="F152" s="84"/>
      <c r="G152" s="84"/>
      <c r="H152" s="84"/>
      <c r="I152" s="84"/>
      <c r="L152" s="235"/>
    </row>
    <row r="153" spans="1:12" s="63" customFormat="1" ht="16.5" hidden="1">
      <c r="A153" s="58" t="s">
        <v>95</v>
      </c>
      <c r="B153" s="59"/>
      <c r="C153" s="59"/>
      <c r="D153" s="59"/>
      <c r="E153" s="60"/>
      <c r="F153" s="61">
        <f>+F155</f>
        <v>0</v>
      </c>
      <c r="G153" s="61">
        <f>+G155</f>
        <v>0</v>
      </c>
      <c r="H153" s="61">
        <f>+H155</f>
        <v>0</v>
      </c>
      <c r="I153" s="62" t="str">
        <f>IF(F153=0,"S/P",+H153/F153)</f>
        <v>S/P</v>
      </c>
    </row>
    <row r="154" spans="1:12" s="63" customFormat="1" ht="9.75" hidden="1" customHeight="1"/>
    <row r="155" spans="1:12" s="12" customFormat="1" ht="12.75" hidden="1">
      <c r="A155" s="341" t="s">
        <v>96</v>
      </c>
      <c r="B155" s="341"/>
      <c r="C155" s="341"/>
      <c r="D155" s="341"/>
      <c r="E155" s="342"/>
      <c r="F155" s="343"/>
      <c r="G155" s="343"/>
      <c r="H155" s="343">
        <f>+G155-F155</f>
        <v>0</v>
      </c>
      <c r="I155" s="344" t="str">
        <f>IF(F155=0,"S/P",+H155/F155)</f>
        <v>S/P</v>
      </c>
      <c r="J155" s="170"/>
      <c r="K155" s="170"/>
      <c r="L155" s="170"/>
    </row>
    <row r="156" spans="1:12" s="15" customFormat="1" ht="12.75" hidden="1" customHeight="1">
      <c r="B156" s="25" t="s">
        <v>97</v>
      </c>
      <c r="E156" s="46"/>
      <c r="F156" s="84"/>
      <c r="G156" s="84"/>
      <c r="H156" s="84"/>
      <c r="I156" s="84"/>
    </row>
    <row r="157" spans="1:12" s="63" customFormat="1" ht="16.5" hidden="1">
      <c r="A157" s="108" t="s">
        <v>225</v>
      </c>
      <c r="B157" s="109"/>
      <c r="C157" s="109"/>
      <c r="D157" s="109"/>
      <c r="E157" s="110"/>
      <c r="F157" s="111">
        <f>+F161+F159</f>
        <v>0</v>
      </c>
      <c r="G157" s="111">
        <f>+G159+G161</f>
        <v>0</v>
      </c>
      <c r="H157" s="111">
        <f>+H159+H161</f>
        <v>0</v>
      </c>
      <c r="I157" s="143" t="str">
        <f>IF(F157=0,"S/P",+H157/F157)</f>
        <v>S/P</v>
      </c>
    </row>
    <row r="158" spans="1:12" s="63" customFormat="1" ht="9.75" hidden="1" customHeight="1">
      <c r="A158" s="112"/>
      <c r="B158" s="112"/>
      <c r="C158" s="112"/>
      <c r="D158" s="112"/>
      <c r="E158" s="112"/>
      <c r="F158" s="112"/>
      <c r="G158" s="112"/>
      <c r="H158" s="112"/>
      <c r="I158" s="112"/>
    </row>
    <row r="159" spans="1:12" s="12" customFormat="1" ht="12.75" hidden="1">
      <c r="A159" s="113" t="s">
        <v>191</v>
      </c>
      <c r="B159" s="113"/>
      <c r="C159" s="113"/>
      <c r="D159" s="113"/>
      <c r="E159" s="114"/>
      <c r="F159" s="115"/>
      <c r="G159" s="115"/>
      <c r="H159" s="115">
        <f>+G159-F159</f>
        <v>0</v>
      </c>
      <c r="I159" s="144" t="str">
        <f>IF(F159=0,"S/P",+H159/F159)</f>
        <v>S/P</v>
      </c>
      <c r="J159" s="170"/>
      <c r="K159" s="170"/>
      <c r="L159" s="170"/>
    </row>
    <row r="160" spans="1:12" s="15" customFormat="1" ht="12.75" hidden="1" customHeight="1">
      <c r="A160" s="121"/>
      <c r="B160" s="117" t="s">
        <v>226</v>
      </c>
      <c r="C160" s="121"/>
      <c r="D160" s="121"/>
      <c r="E160" s="122"/>
      <c r="F160" s="123"/>
      <c r="G160" s="123"/>
      <c r="H160" s="123"/>
      <c r="I160" s="123"/>
    </row>
    <row r="161" spans="1:12" s="12" customFormat="1" ht="12.75" hidden="1">
      <c r="A161" s="113" t="s">
        <v>101</v>
      </c>
      <c r="B161" s="113"/>
      <c r="C161" s="113"/>
      <c r="D161" s="113"/>
      <c r="E161" s="114"/>
      <c r="F161" s="115"/>
      <c r="G161" s="115"/>
      <c r="H161" s="115">
        <f>+G161-F161</f>
        <v>0</v>
      </c>
      <c r="I161" s="144" t="str">
        <f>IF(F161=0,"S/P",+H161/F161)</f>
        <v>S/P</v>
      </c>
      <c r="J161" s="170"/>
      <c r="K161" s="170"/>
      <c r="L161" s="170"/>
    </row>
    <row r="162" spans="1:12" s="15" customFormat="1" ht="12.75" hidden="1" customHeight="1">
      <c r="A162" s="121"/>
      <c r="B162" s="117" t="s">
        <v>162</v>
      </c>
      <c r="C162" s="121"/>
      <c r="D162" s="121"/>
      <c r="E162" s="122"/>
      <c r="F162" s="123"/>
      <c r="G162" s="84"/>
      <c r="H162" s="84"/>
      <c r="I162" s="84"/>
    </row>
    <row r="163" spans="1:12" s="63" customFormat="1" ht="16.5">
      <c r="A163" s="124" t="s">
        <v>163</v>
      </c>
      <c r="B163" s="125"/>
      <c r="C163" s="125"/>
      <c r="D163" s="125"/>
      <c r="E163" s="126"/>
      <c r="F163" s="127">
        <f>+F2+F95+F103+F141+F25+F38+F48+F52+F56+F83+F147+F153+F157</f>
        <v>0</v>
      </c>
      <c r="G163" s="127">
        <f>+G2+G25+G38+G48+G52+G56+G83+G95+G103+G141+G147+G153+G157</f>
        <v>0</v>
      </c>
      <c r="H163" s="127">
        <f>+H2+H25+H38+H48+H52+H56+H83+H95+H103+H141+H147+H153+H157</f>
        <v>0</v>
      </c>
      <c r="I163" s="127" t="str">
        <f>IF(F163=0,"S/P",+H163/F163)</f>
        <v>S/P</v>
      </c>
      <c r="L163" s="234"/>
    </row>
    <row r="164" spans="1:12" s="63" customFormat="1" ht="10.5" customHeight="1"/>
    <row r="165" spans="1:12" s="63" customFormat="1" ht="16.5">
      <c r="A165" s="58" t="s">
        <v>104</v>
      </c>
      <c r="B165" s="59"/>
      <c r="C165" s="59"/>
      <c r="D165" s="59"/>
      <c r="E165" s="60"/>
      <c r="F165" s="61">
        <f>+SUM(F167:F173)</f>
        <v>0</v>
      </c>
      <c r="G165" s="61">
        <f>+SUM(G166:G174)</f>
        <v>0</v>
      </c>
      <c r="H165" s="61">
        <f>+SUM(H166:H174)</f>
        <v>0</v>
      </c>
      <c r="I165" s="62" t="str">
        <f>IF(F165=0,"S/P",+H165/F165)</f>
        <v>S/P</v>
      </c>
    </row>
    <row r="166" spans="1:12" s="63" customFormat="1" ht="9.75" customHeight="1"/>
    <row r="167" spans="1:12" s="12" customFormat="1" ht="12.75" hidden="1">
      <c r="A167" s="341" t="s">
        <v>105</v>
      </c>
      <c r="B167" s="341"/>
      <c r="C167" s="341"/>
      <c r="D167" s="341"/>
      <c r="E167" s="342"/>
      <c r="F167" s="343">
        <f>+'Anexo Ingresos'!M97</f>
        <v>0</v>
      </c>
      <c r="G167" s="343"/>
      <c r="H167" s="343">
        <f>+G167-F167</f>
        <v>0</v>
      </c>
      <c r="I167" s="344" t="str">
        <f>IF(F167=0,"S/P",+H167/F167)</f>
        <v>S/P</v>
      </c>
      <c r="J167" s="170"/>
      <c r="K167" s="170"/>
      <c r="L167" s="170"/>
    </row>
    <row r="168" spans="1:12" s="15" customFormat="1" ht="12.75" hidden="1" customHeight="1">
      <c r="B168" s="25" t="s">
        <v>106</v>
      </c>
      <c r="E168" s="46"/>
      <c r="F168" s="84"/>
      <c r="G168" s="84"/>
      <c r="H168" s="84"/>
      <c r="I168" s="84"/>
    </row>
    <row r="169" spans="1:12" s="12" customFormat="1" ht="12.75" hidden="1">
      <c r="A169" s="341" t="s">
        <v>107</v>
      </c>
      <c r="B169" s="341"/>
      <c r="C169" s="341"/>
      <c r="D169" s="341"/>
      <c r="E169" s="342"/>
      <c r="F169" s="343">
        <f>+'Anexo Ingresos'!M103</f>
        <v>0</v>
      </c>
      <c r="G169" s="343"/>
      <c r="H169" s="343">
        <f>+G169-F169</f>
        <v>0</v>
      </c>
      <c r="I169" s="344" t="str">
        <f>IF(F169=0,"S/P",+H169/F169)</f>
        <v>S/P</v>
      </c>
      <c r="J169" s="170"/>
      <c r="K169" s="170"/>
      <c r="L169" s="170"/>
    </row>
    <row r="170" spans="1:12" s="15" customFormat="1" ht="12.75" hidden="1" customHeight="1">
      <c r="B170" s="25" t="s">
        <v>108</v>
      </c>
      <c r="E170" s="46"/>
      <c r="F170" s="84"/>
      <c r="G170" s="84"/>
      <c r="H170" s="84"/>
      <c r="I170" s="84"/>
    </row>
    <row r="171" spans="1:12" s="12" customFormat="1" ht="12.75">
      <c r="A171" s="341" t="s">
        <v>109</v>
      </c>
      <c r="B171" s="341"/>
      <c r="C171" s="341"/>
      <c r="D171" s="341"/>
      <c r="E171" s="342"/>
      <c r="F171" s="343">
        <f>+'Anexo Ingresos'!M115</f>
        <v>0</v>
      </c>
      <c r="G171" s="343"/>
      <c r="H171" s="343">
        <f>+G171-F171</f>
        <v>0</v>
      </c>
      <c r="I171" s="344" t="str">
        <f>IF(F171=0,"S/P",+H171/F171)</f>
        <v>S/P</v>
      </c>
      <c r="J171" s="170"/>
      <c r="K171" s="170"/>
      <c r="L171" s="170"/>
    </row>
    <row r="172" spans="1:12" s="15" customFormat="1" ht="12.75" customHeight="1">
      <c r="B172" s="25" t="s">
        <v>110</v>
      </c>
      <c r="E172" s="46"/>
      <c r="F172" s="84"/>
      <c r="G172" s="84"/>
      <c r="H172" s="84"/>
      <c r="I172" s="84"/>
    </row>
    <row r="173" spans="1:12" s="12" customFormat="1" ht="12.75" hidden="1">
      <c r="A173" s="341" t="s">
        <v>111</v>
      </c>
      <c r="B173" s="341"/>
      <c r="C173" s="341"/>
      <c r="D173" s="341"/>
      <c r="E173" s="342"/>
      <c r="F173" s="343">
        <f>+'Anexo Ingresos'!M121</f>
        <v>0</v>
      </c>
      <c r="G173" s="343"/>
      <c r="H173" s="343">
        <f>+G173-F173</f>
        <v>0</v>
      </c>
      <c r="I173" s="344" t="str">
        <f>IF(F173=0,"S/P",+H173/F173)</f>
        <v>S/P</v>
      </c>
      <c r="J173" s="170"/>
      <c r="K173" s="170"/>
      <c r="L173" s="170"/>
    </row>
    <row r="174" spans="1:12" s="15" customFormat="1" ht="12.75" hidden="1" customHeight="1">
      <c r="B174" s="25" t="s">
        <v>112</v>
      </c>
      <c r="E174" s="46"/>
      <c r="F174" s="84"/>
      <c r="G174" s="84"/>
      <c r="H174" s="84"/>
      <c r="I174" s="84"/>
    </row>
    <row r="175" spans="1:12" s="133" customFormat="1" ht="16.5" hidden="1">
      <c r="A175" s="128" t="s">
        <v>113</v>
      </c>
      <c r="B175" s="129"/>
      <c r="C175" s="129"/>
      <c r="D175" s="129"/>
      <c r="E175" s="130"/>
      <c r="F175" s="131">
        <f>+SUM(F177:F183)</f>
        <v>0</v>
      </c>
      <c r="G175" s="131">
        <f>+SUM(G176:G184)</f>
        <v>0</v>
      </c>
      <c r="H175" s="131">
        <f>+SUM(H176:H184)</f>
        <v>0</v>
      </c>
      <c r="I175" s="132" t="str">
        <f>IF(F175=0,"S/P",+H175/F175)</f>
        <v>S/P</v>
      </c>
    </row>
    <row r="176" spans="1:12" s="133" customFormat="1" ht="9.75" hidden="1" customHeight="1"/>
    <row r="177" spans="1:9" s="138" customFormat="1" ht="12.75" hidden="1">
      <c r="A177" s="134" t="s">
        <v>227</v>
      </c>
      <c r="B177" s="134"/>
      <c r="C177" s="134"/>
      <c r="D177" s="134"/>
      <c r="E177" s="135"/>
      <c r="F177" s="136">
        <f>-'Anexo Gastos '!K279</f>
        <v>0</v>
      </c>
      <c r="G177" s="136"/>
      <c r="H177" s="136">
        <f>+G177-F177</f>
        <v>0</v>
      </c>
      <c r="I177" s="137" t="str">
        <f>IF(F177=0,"S/P",+H177/F177)</f>
        <v>S/P</v>
      </c>
    </row>
    <row r="178" spans="1:9" s="139" customFormat="1" ht="12.75" hidden="1" customHeight="1">
      <c r="B178" s="140" t="s">
        <v>115</v>
      </c>
      <c r="E178" s="141"/>
      <c r="F178" s="142"/>
      <c r="G178" s="142"/>
      <c r="H178" s="142"/>
      <c r="I178" s="142"/>
    </row>
    <row r="179" spans="1:9" s="138" customFormat="1" ht="12.75" hidden="1">
      <c r="A179" s="134" t="s">
        <v>194</v>
      </c>
      <c r="B179" s="134"/>
      <c r="C179" s="134"/>
      <c r="D179" s="134"/>
      <c r="E179" s="135"/>
      <c r="F179" s="136">
        <f>-'Anexo Gastos '!K285</f>
        <v>0</v>
      </c>
      <c r="G179" s="136"/>
      <c r="H179" s="136">
        <f>+G179-F179</f>
        <v>0</v>
      </c>
      <c r="I179" s="137" t="str">
        <f>IF(F179=0,"S/P",+H179/F179)</f>
        <v>S/P</v>
      </c>
    </row>
    <row r="180" spans="1:9" s="139" customFormat="1" ht="12.75" hidden="1" customHeight="1">
      <c r="B180" s="140" t="s">
        <v>164</v>
      </c>
      <c r="E180" s="141"/>
      <c r="F180" s="142"/>
      <c r="G180" s="142"/>
      <c r="H180" s="142"/>
      <c r="I180" s="142"/>
    </row>
    <row r="181" spans="1:9" s="138" customFormat="1" ht="12.75" hidden="1">
      <c r="A181" s="134" t="s">
        <v>118</v>
      </c>
      <c r="B181" s="134"/>
      <c r="C181" s="134"/>
      <c r="D181" s="134"/>
      <c r="E181" s="135"/>
      <c r="F181" s="136">
        <f>-'Anexo Gastos '!K291</f>
        <v>0</v>
      </c>
      <c r="G181" s="136"/>
      <c r="H181" s="136">
        <f>+G181-F181</f>
        <v>0</v>
      </c>
      <c r="I181" s="137" t="str">
        <f>IF(F181=0,"S/P",+H181/F181)</f>
        <v>S/P</v>
      </c>
    </row>
    <row r="182" spans="1:9" s="139" customFormat="1" ht="12.75" hidden="1" customHeight="1">
      <c r="B182" s="140" t="s">
        <v>119</v>
      </c>
      <c r="E182" s="141"/>
      <c r="F182" s="142"/>
      <c r="G182" s="142"/>
      <c r="H182" s="142"/>
      <c r="I182" s="142"/>
    </row>
    <row r="183" spans="1:9" s="138" customFormat="1" ht="12.75" hidden="1">
      <c r="A183" s="134" t="s">
        <v>228</v>
      </c>
      <c r="B183" s="134"/>
      <c r="C183" s="134"/>
      <c r="D183" s="134"/>
      <c r="E183" s="135"/>
      <c r="F183" s="136">
        <f>-'Anexo Gastos '!K297</f>
        <v>0</v>
      </c>
      <c r="G183" s="136"/>
      <c r="H183" s="136">
        <f>+G183-F183</f>
        <v>0</v>
      </c>
      <c r="I183" s="137" t="str">
        <f>IF(F183=0,"S/P",+H183/F183)</f>
        <v>S/P</v>
      </c>
    </row>
    <row r="184" spans="1:9" s="139" customFormat="1" ht="12.75" hidden="1" customHeight="1">
      <c r="B184" s="140" t="s">
        <v>121</v>
      </c>
      <c r="E184" s="141"/>
      <c r="F184" s="142"/>
      <c r="G184" s="142"/>
      <c r="H184" s="142"/>
      <c r="I184" s="142"/>
    </row>
    <row r="185" spans="1:9" s="63" customFormat="1" ht="16.5" hidden="1">
      <c r="A185" s="108" t="s">
        <v>229</v>
      </c>
      <c r="B185" s="109"/>
      <c r="C185" s="109"/>
      <c r="D185" s="109"/>
      <c r="E185" s="110"/>
      <c r="F185" s="111">
        <f>+F189+F187</f>
        <v>0</v>
      </c>
      <c r="G185" s="111">
        <f>+SUM(G186:G190)</f>
        <v>0</v>
      </c>
      <c r="H185" s="111">
        <f>+SUM(H186:H190)</f>
        <v>0</v>
      </c>
      <c r="I185" s="143" t="str">
        <f>IF(F185=0,"S/P",+H185/F185)</f>
        <v>S/P</v>
      </c>
    </row>
    <row r="186" spans="1:9" s="63" customFormat="1" ht="9.75" hidden="1" customHeight="1"/>
    <row r="187" spans="1:9" s="12" customFormat="1" ht="12.75" hidden="1">
      <c r="A187" s="134" t="s">
        <v>123</v>
      </c>
      <c r="B187" s="134"/>
      <c r="C187" s="341"/>
      <c r="D187" s="341"/>
      <c r="E187" s="342"/>
      <c r="F187" s="343"/>
      <c r="G187" s="136"/>
      <c r="H187" s="136">
        <f>+G187-F187</f>
        <v>0</v>
      </c>
      <c r="I187" s="137" t="str">
        <f>IF(F187=0,"S/P",+H187/F187)</f>
        <v>S/P</v>
      </c>
    </row>
    <row r="188" spans="1:9" s="15" customFormat="1" ht="12.75" hidden="1" customHeight="1">
      <c r="A188" s="139"/>
      <c r="B188" s="140" t="s">
        <v>124</v>
      </c>
      <c r="E188" s="46"/>
      <c r="F188" s="84"/>
      <c r="G188" s="84"/>
      <c r="H188" s="84"/>
      <c r="I188" s="84"/>
    </row>
    <row r="189" spans="1:9" s="12" customFormat="1" ht="12.75" hidden="1">
      <c r="A189" s="341" t="s">
        <v>125</v>
      </c>
      <c r="B189" s="341"/>
      <c r="C189" s="341"/>
      <c r="D189" s="341"/>
      <c r="E189" s="342"/>
      <c r="F189" s="343"/>
      <c r="G189" s="343"/>
      <c r="H189" s="343">
        <f>+G189-F189</f>
        <v>0</v>
      </c>
      <c r="I189" s="344" t="str">
        <f>IF(F189=0,"S/P",+H189/F189)</f>
        <v>S/P</v>
      </c>
    </row>
    <row r="190" spans="1:9" s="15" customFormat="1" ht="12.75" hidden="1" customHeight="1">
      <c r="B190" s="25" t="s">
        <v>230</v>
      </c>
      <c r="E190" s="46"/>
      <c r="F190" s="84"/>
      <c r="G190" s="84"/>
      <c r="H190" s="84"/>
      <c r="I190" s="84"/>
    </row>
    <row r="191" spans="1:9" s="63" customFormat="1" ht="16.5">
      <c r="A191" s="124" t="s">
        <v>127</v>
      </c>
      <c r="B191" s="125"/>
      <c r="C191" s="125"/>
      <c r="D191" s="125"/>
      <c r="E191" s="126"/>
      <c r="F191" s="127">
        <f>+F165+F175+F185</f>
        <v>0</v>
      </c>
      <c r="G191" s="127">
        <f>+G165+G175+G185</f>
        <v>0</v>
      </c>
      <c r="H191" s="127">
        <f>+H165+H175+H185</f>
        <v>0</v>
      </c>
      <c r="I191" s="127" t="str">
        <f>IF(F191=0,"S/P",+H191/F191)</f>
        <v>S/P</v>
      </c>
    </row>
    <row r="192" spans="1:9" s="63" customFormat="1" ht="14.25" customHeight="1"/>
    <row r="193" spans="1:9" s="63" customFormat="1" ht="16.5">
      <c r="A193" s="124" t="s">
        <v>128</v>
      </c>
      <c r="B193" s="125"/>
      <c r="C193" s="125"/>
      <c r="D193" s="125"/>
      <c r="E193" s="126"/>
      <c r="F193" s="127">
        <f>+F163+F191</f>
        <v>0</v>
      </c>
      <c r="G193" s="127">
        <f>+G163+G191</f>
        <v>0</v>
      </c>
      <c r="H193" s="127">
        <f>+H163+H191</f>
        <v>0</v>
      </c>
      <c r="I193" s="127" t="str">
        <f>IF(F193=0,"S/P",+H193/F193)</f>
        <v>S/P</v>
      </c>
    </row>
    <row r="194" spans="1:9" s="63" customFormat="1" ht="20.25" customHeight="1"/>
    <row r="195" spans="1:9" ht="18">
      <c r="A195" s="1"/>
      <c r="F195" s="43"/>
      <c r="G195" s="43"/>
      <c r="H195" s="43"/>
      <c r="I195" s="43"/>
    </row>
    <row r="196" spans="1:9">
      <c r="D196" s="349" t="s">
        <v>129</v>
      </c>
      <c r="F196" s="45" t="s">
        <v>0</v>
      </c>
      <c r="G196" s="45" t="s">
        <v>1</v>
      </c>
      <c r="H196" s="45" t="s">
        <v>2</v>
      </c>
      <c r="I196" s="45" t="s">
        <v>130</v>
      </c>
    </row>
    <row r="197" spans="1:9">
      <c r="D197" s="321" t="s">
        <v>131</v>
      </c>
      <c r="E197" s="322"/>
      <c r="F197" s="88">
        <f>+F2+F25+IF(F48&gt;0,F48,0)+F52+F83+F147+F153+IF(F157&gt;0,F157,0)+F165+IF(F185&gt;0,F185,0)</f>
        <v>0</v>
      </c>
      <c r="G197" s="88">
        <f>+G2+G25+IF(G48&gt;0,G48,0)+G52+G83+G147+G153+IF(G157&gt;0,G157,0)+G165+IF(G185&gt;0,G185,0)</f>
        <v>0</v>
      </c>
      <c r="H197" s="88">
        <f>+G197-E197</f>
        <v>0</v>
      </c>
      <c r="I197" s="151" t="str">
        <f>IF(F197=0,"S/P",+H197/F197)</f>
        <v>S/P</v>
      </c>
    </row>
    <row r="198" spans="1:9">
      <c r="D198" s="321" t="s">
        <v>132</v>
      </c>
      <c r="E198" s="322"/>
      <c r="F198" s="88">
        <f>-F38-IF(F48&lt;0,F48,0)-F56-F95-F103-F141-IF(F157&lt;0,F157,0)-F175-IF(F185&lt;0,F185,0)</f>
        <v>0</v>
      </c>
      <c r="G198" s="88">
        <f>-G38-IF(G48&lt;0,G48,0)-G56-G95-G103-G141-IF(G157&lt;0,G157,0)-G175-IF(G185&lt;0,G185,0)</f>
        <v>0</v>
      </c>
      <c r="H198" s="88">
        <f t="shared" ref="H198:H199" si="12">+G198-E198</f>
        <v>0</v>
      </c>
      <c r="I198" s="151" t="str">
        <f t="shared" ref="I198:I199" si="13">IF(F198=0,"S/P",+H198/F198)</f>
        <v>S/P</v>
      </c>
    </row>
    <row r="199" spans="1:9">
      <c r="D199" s="321" t="s">
        <v>133</v>
      </c>
      <c r="E199" s="322"/>
      <c r="F199" s="88">
        <f>F197-F198</f>
        <v>0</v>
      </c>
      <c r="G199" s="88">
        <f>G197-G198</f>
        <v>0</v>
      </c>
      <c r="H199" s="88">
        <f t="shared" si="12"/>
        <v>0</v>
      </c>
      <c r="I199" s="151" t="str">
        <f t="shared" si="13"/>
        <v>S/P</v>
      </c>
    </row>
  </sheetData>
  <mergeCells count="3">
    <mergeCell ref="D197:E197"/>
    <mergeCell ref="D198:E198"/>
    <mergeCell ref="D199:E199"/>
  </mergeCells>
  <conditionalFormatting sqref="F163:I163 F193:I193">
    <cfRule type="cellIs" dxfId="6" priority="7" stopIfTrue="1" operator="lessThan">
      <formula>0</formula>
    </cfRule>
  </conditionalFormatting>
  <conditionalFormatting sqref="A193">
    <cfRule type="expression" dxfId="5" priority="6" stopIfTrue="1">
      <formula>$F$193&lt;0</formula>
    </cfRule>
  </conditionalFormatting>
  <conditionalFormatting sqref="A163">
    <cfRule type="expression" dxfId="4" priority="5" stopIfTrue="1">
      <formula>$F$163&lt;0</formula>
    </cfRule>
  </conditionalFormatting>
  <conditionalFormatting sqref="F191:I191">
    <cfRule type="cellIs" dxfId="3" priority="4" stopIfTrue="1" operator="lessThan">
      <formula>0</formula>
    </cfRule>
  </conditionalFormatting>
  <conditionalFormatting sqref="A191">
    <cfRule type="expression" dxfId="2" priority="3" stopIfTrue="1">
      <formula>$F$163&lt;0</formula>
    </cfRule>
  </conditionalFormatting>
  <conditionalFormatting sqref="F193:I193">
    <cfRule type="cellIs" dxfId="1" priority="2" stopIfTrue="1" operator="lessThan">
      <formula>0</formula>
    </cfRule>
  </conditionalFormatting>
  <conditionalFormatting sqref="A193">
    <cfRule type="expression" dxfId="0" priority="1" stopIfTrue="1">
      <formula>$F$163&lt;0</formula>
    </cfRule>
  </conditionalFormatting>
  <pageMargins left="1.1417322834645669" right="0.31496062992125984" top="0.82677165354330717" bottom="0.55118110236220474" header="0.35433070866141736" footer="0.55118110236220474"/>
  <pageSetup paperSize="9" scale="72" orientation="portrait" r:id="rId1"/>
  <headerFooter alignWithMargins="0">
    <oddHeader>&amp;C&amp;20Presupuesto Centro 5
2.0XX</oddHeader>
    <oddFooter>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X1682"/>
  <sheetViews>
    <sheetView topLeftCell="A135" zoomScale="80" zoomScaleNormal="80" workbookViewId="0">
      <selection activeCell="L159" sqref="L158:L159"/>
    </sheetView>
  </sheetViews>
  <sheetFormatPr defaultColWidth="11.42578125" defaultRowHeight="15.75"/>
  <cols>
    <col min="1" max="1" width="48.42578125" bestFit="1" customWidth="1"/>
    <col min="2" max="2" width="3.42578125" customWidth="1"/>
    <col min="3" max="3" width="19.7109375" customWidth="1"/>
    <col min="4" max="4" width="17.28515625" customWidth="1"/>
    <col min="5" max="5" width="13" customWidth="1"/>
    <col min="6" max="6" width="7.7109375" customWidth="1"/>
    <col min="7" max="7" width="8" bestFit="1" customWidth="1"/>
    <col min="8" max="8" width="15.28515625" customWidth="1"/>
    <col min="9" max="9" width="4" style="264" bestFit="1" customWidth="1"/>
    <col min="10" max="10" width="12" bestFit="1" customWidth="1"/>
    <col min="11" max="13" width="15.28515625" customWidth="1"/>
    <col min="14" max="14" width="14.7109375" bestFit="1" customWidth="1"/>
    <col min="15" max="15" width="4.85546875" style="165" hidden="1" customWidth="1"/>
    <col min="16" max="16" width="13.140625" style="4" bestFit="1" customWidth="1"/>
    <col min="17" max="17" width="13.7109375" style="4" customWidth="1"/>
    <col min="18" max="18" width="15.7109375" style="5" customWidth="1"/>
  </cols>
  <sheetData>
    <row r="1" spans="1:24" ht="29.25" customHeight="1">
      <c r="A1" s="323" t="s">
        <v>238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</row>
    <row r="2" spans="1:24" ht="21" customHeight="1">
      <c r="A2" s="206" t="s">
        <v>239</v>
      </c>
      <c r="P2" s="37"/>
      <c r="Q2" s="207"/>
      <c r="R2" s="89"/>
    </row>
    <row r="3" spans="1:24" ht="15" customHeight="1">
      <c r="A3" s="48" t="s">
        <v>240</v>
      </c>
      <c r="B3" s="48"/>
      <c r="C3" s="48"/>
      <c r="D3" s="48"/>
      <c r="E3" s="48"/>
      <c r="F3" s="48"/>
      <c r="G3" s="48"/>
      <c r="R3" s="11"/>
    </row>
    <row r="4" spans="1:24" ht="10.5" customHeight="1"/>
    <row r="5" spans="1:24" ht="27" customHeight="1">
      <c r="A5" s="8" t="s">
        <v>241</v>
      </c>
      <c r="B5" s="8"/>
      <c r="C5" s="8" t="s">
        <v>242</v>
      </c>
      <c r="D5" s="8" t="s">
        <v>243</v>
      </c>
      <c r="E5" s="208" t="s">
        <v>244</v>
      </c>
      <c r="F5" s="208" t="s">
        <v>245</v>
      </c>
      <c r="G5" s="209" t="s">
        <v>246</v>
      </c>
      <c r="H5" s="8" t="s">
        <v>247</v>
      </c>
      <c r="I5" s="265"/>
      <c r="J5" s="210" t="s">
        <v>248</v>
      </c>
      <c r="K5" s="209" t="s">
        <v>249</v>
      </c>
      <c r="L5" s="209" t="s">
        <v>250</v>
      </c>
      <c r="M5" s="8" t="s">
        <v>251</v>
      </c>
      <c r="N5" s="8" t="s">
        <v>252</v>
      </c>
      <c r="O5" s="210" t="s">
        <v>253</v>
      </c>
      <c r="P5" s="9" t="s">
        <v>254</v>
      </c>
      <c r="Q5" s="211" t="s">
        <v>255</v>
      </c>
      <c r="R5" s="9" t="s">
        <v>256</v>
      </c>
    </row>
    <row r="6" spans="1:24" ht="15" customHeight="1">
      <c r="A6" s="7"/>
      <c r="B6" s="25"/>
      <c r="C6" s="25"/>
      <c r="D6" s="25"/>
      <c r="E6" s="212"/>
      <c r="F6" s="213"/>
      <c r="G6" s="213"/>
      <c r="H6" s="37" t="e">
        <f>+VLOOKUP(B6,'Taboa Dat. '!$A$4:$C$41,3)*12*G6*F6</f>
        <v>#N/A</v>
      </c>
      <c r="I6" s="163"/>
      <c r="J6" s="37">
        <f>IF(I6="",0,+VLOOKUP(I6,'Taboa Dat. '!$H$13:$J$17,3)*12*F6*G6)</f>
        <v>0</v>
      </c>
      <c r="K6" s="37">
        <f>1*12*F6*G6</f>
        <v>0</v>
      </c>
      <c r="L6" s="37" t="e">
        <f>(+VLOOKUP(B6,'Taboa Dat. '!$A$4:D$41,4)*12*F6*G6)*2</f>
        <v>#N/A</v>
      </c>
      <c r="M6" s="37" t="e">
        <f>(+H6+K6+J6)*2/12</f>
        <v>#N/A</v>
      </c>
      <c r="N6" s="37" t="e">
        <f>+H6+J6+K6+M6+L6</f>
        <v>#N/A</v>
      </c>
      <c r="O6" s="214"/>
      <c r="P6" s="37" t="e">
        <f>+IF(AND(OR(D6='Taboa Dat. '!$J$4,D6='Taboa Dat. '!$K$4,D6='Taboa Dat. '!$L$4,D6='Taboa Dat. '!$M$4,D6='Taboa Dat. '!$N$4),'Gastos de Persoal'!O6=""),'Gastos de Persoal'!N6*SUM('Taboa Dat. '!$J$5:$J$7),IF(AND(OR(D6='Taboa Dat. '!$J$4,'Taboa Dat. '!$K$4,'Taboa Dat. '!$L$4,'Taboa Dat. '!$M$4,'Taboa Dat. '!$N$4),'Gastos de Persoal'!O6="a"),'Gastos de Persoal'!N6*('Taboa Dat. '!$J$5+'Taboa Dat. '!$J$6+'Taboa Dat. '!$J$8),IF(AND(OR(D6='Taboa Dat. '!$J$4,'Taboa Dat. '!$K$4,'Taboa Dat. '!$L$4,'Taboa Dat. '!$M$4,'Taboa Dat. '!$N$4),'Gastos de Persoal'!O6="g"),'Gastos de Persoal'!N6*('Taboa Dat. '!$J$5+'Taboa Dat. '!$J$6+'Taboa Dat. '!$J$9),'Gastos de Persoal'!N6*SUM('Taboa Dat. '!$O$5:$O$7))))</f>
        <v>#N/A</v>
      </c>
      <c r="Q6" s="37"/>
      <c r="R6" s="37" t="e">
        <f t="shared" ref="R6:R30" si="0">+P6+N6-Q6</f>
        <v>#N/A</v>
      </c>
    </row>
    <row r="7" spans="1:24" ht="15" customHeight="1">
      <c r="A7" s="7"/>
      <c r="B7" s="25"/>
      <c r="C7" s="25"/>
      <c r="D7" s="25"/>
      <c r="E7" s="212"/>
      <c r="F7" s="213"/>
      <c r="G7" s="213"/>
      <c r="H7" s="37" t="e">
        <f>+VLOOKUP(B7,'Taboa Dat. '!$A$4:$C$41,3)*12*G7*F7</f>
        <v>#N/A</v>
      </c>
      <c r="I7" s="266"/>
      <c r="J7" s="37">
        <f>IF(I7="",0,+VLOOKUP(I7,'Taboa Dat. '!$H$13:$J$17,3)*12*F7*G7)</f>
        <v>0</v>
      </c>
      <c r="K7" s="37">
        <f t="shared" ref="K7:K38" si="1">1*12*F7*G7</f>
        <v>0</v>
      </c>
      <c r="L7" s="37" t="e">
        <f>(+VLOOKUP(B7,'Taboa Dat. '!$A$4:D$41,4)*12*F7*G7)*2</f>
        <v>#N/A</v>
      </c>
      <c r="M7" s="37" t="e">
        <f t="shared" ref="M7:M30" si="2">(+H7+K7+J7)*2/12</f>
        <v>#N/A</v>
      </c>
      <c r="N7" s="37" t="e">
        <f t="shared" ref="N7:N30" si="3">+H7+J7+K7+M7+L7</f>
        <v>#N/A</v>
      </c>
      <c r="O7" s="214"/>
      <c r="P7" s="37" t="e">
        <f>+IF(AND(OR(D7='Taboa Dat. '!$J$4,D7='Taboa Dat. '!$K$4,D7='Taboa Dat. '!$L$4,D7='Taboa Dat. '!$M$4,D7='Taboa Dat. '!$N$4),'Gastos de Persoal'!O7=""),'Gastos de Persoal'!N7*SUM('Taboa Dat. '!$J$5:$J$7),IF(AND(OR(D7='Taboa Dat. '!$J$4,'Taboa Dat. '!$K$4,'Taboa Dat. '!$L$4,'Taboa Dat. '!$M$4,'Taboa Dat. '!$N$4),'Gastos de Persoal'!O7="a"),'Gastos de Persoal'!N7*('Taboa Dat. '!$J$5+'Taboa Dat. '!$J$6+'Taboa Dat. '!$J$8),IF(AND(OR(D7='Taboa Dat. '!$J$4,'Taboa Dat. '!$K$4,'Taboa Dat. '!$L$4,'Taboa Dat. '!$M$4,'Taboa Dat. '!$N$4),'Gastos de Persoal'!O7="g"),'Gastos de Persoal'!N7*('Taboa Dat. '!$J$5+'Taboa Dat. '!$J$6+'Taboa Dat. '!$J$9),'Gastos de Persoal'!N7*SUM('Taboa Dat. '!$O$5:$O$7))))</f>
        <v>#N/A</v>
      </c>
      <c r="Q7" s="37"/>
      <c r="R7" s="37" t="e">
        <f t="shared" si="0"/>
        <v>#N/A</v>
      </c>
    </row>
    <row r="8" spans="1:24" ht="15" customHeight="1">
      <c r="A8" s="159"/>
      <c r="B8" s="215"/>
      <c r="C8" s="25"/>
      <c r="D8" s="25"/>
      <c r="E8" s="212"/>
      <c r="F8" s="213"/>
      <c r="G8" s="213"/>
      <c r="H8" s="37" t="e">
        <f>+VLOOKUP(B8,'Taboa Dat. '!$A$4:$C$41,3)*12*G8*F8</f>
        <v>#N/A</v>
      </c>
      <c r="I8" s="266"/>
      <c r="J8" s="37">
        <f>IF(I8="",0,+VLOOKUP(I8,'Taboa Dat. '!$H$13:$J$17,3)*12*F8*G8)</f>
        <v>0</v>
      </c>
      <c r="K8" s="37">
        <f t="shared" si="1"/>
        <v>0</v>
      </c>
      <c r="L8" s="37" t="e">
        <f>(+VLOOKUP(B8,'Taboa Dat. '!$A$4:D$41,4)*12*F8*G8)*2</f>
        <v>#N/A</v>
      </c>
      <c r="M8" s="37" t="e">
        <f t="shared" si="2"/>
        <v>#N/A</v>
      </c>
      <c r="N8" s="37" t="e">
        <f t="shared" si="3"/>
        <v>#N/A</v>
      </c>
      <c r="O8" s="214"/>
      <c r="P8" s="37" t="e">
        <f>+IF(AND(OR(D8='Taboa Dat. '!$J$4,D8='Taboa Dat. '!$K$4,D8='Taboa Dat. '!$L$4,D8='Taboa Dat. '!$M$4,D8='Taboa Dat. '!$N$4),'Gastos de Persoal'!O8=""),'Gastos de Persoal'!N8*SUM('Taboa Dat. '!$J$5:$J$7),IF(AND(OR(D8='Taboa Dat. '!$J$4,'Taboa Dat. '!$K$4,'Taboa Dat. '!$L$4,'Taboa Dat. '!$M$4,'Taboa Dat. '!$N$4),'Gastos de Persoal'!O8="a"),'Gastos de Persoal'!N8*('Taboa Dat. '!$J$5+'Taboa Dat. '!$J$6+'Taboa Dat. '!$J$8),IF(AND(OR(D8='Taboa Dat. '!$J$4,'Taboa Dat. '!$K$4,'Taboa Dat. '!$L$4,'Taboa Dat. '!$M$4,'Taboa Dat. '!$N$4),'Gastos de Persoal'!O8="g"),'Gastos de Persoal'!N8*('Taboa Dat. '!$J$5+'Taboa Dat. '!$J$6+'Taboa Dat. '!$J$9),'Gastos de Persoal'!N8*SUM('Taboa Dat. '!$O$5:$O$7))))</f>
        <v>#N/A</v>
      </c>
      <c r="Q8" s="37"/>
      <c r="R8" s="37" t="e">
        <f t="shared" si="0"/>
        <v>#N/A</v>
      </c>
    </row>
    <row r="9" spans="1:24" ht="15" customHeight="1">
      <c r="A9" s="7"/>
      <c r="B9" s="25"/>
      <c r="C9" s="25"/>
      <c r="D9" s="25"/>
      <c r="E9" s="212"/>
      <c r="F9" s="213"/>
      <c r="G9" s="213"/>
      <c r="H9" s="37" t="e">
        <f>+VLOOKUP(B9,'Taboa Dat. '!$A$4:$C$41,3)*12*G9*F9</f>
        <v>#N/A</v>
      </c>
      <c r="I9" s="163"/>
      <c r="J9" s="37">
        <f>IF(I9="",0,+VLOOKUP(I9,'Taboa Dat. '!$H$13:$J$17,3)*12*F9*G9)</f>
        <v>0</v>
      </c>
      <c r="K9" s="37">
        <f t="shared" si="1"/>
        <v>0</v>
      </c>
      <c r="L9" s="37" t="e">
        <f>(+VLOOKUP(B9,'Taboa Dat. '!$A$4:D$41,4)*12*F9*G9)*2</f>
        <v>#N/A</v>
      </c>
      <c r="M9" s="37" t="e">
        <f t="shared" si="2"/>
        <v>#N/A</v>
      </c>
      <c r="N9" s="37" t="e">
        <f t="shared" si="3"/>
        <v>#N/A</v>
      </c>
      <c r="O9" s="214"/>
      <c r="P9" s="37" t="e">
        <f>+IF(AND(OR(D9='Taboa Dat. '!$J$4,D9='Taboa Dat. '!$K$4,D9='Taboa Dat. '!$L$4,D9='Taboa Dat. '!$M$4,D9='Taboa Dat. '!$N$4),'Gastos de Persoal'!O9=""),'Gastos de Persoal'!N9*SUM('Taboa Dat. '!$J$5:$J$7),IF(AND(OR(D9='Taboa Dat. '!$J$4,'Taboa Dat. '!$K$4,'Taboa Dat. '!$L$4,'Taboa Dat. '!$M$4,'Taboa Dat. '!$N$4),'Gastos de Persoal'!O9="a"),'Gastos de Persoal'!N9*('Taboa Dat. '!$J$5+'Taboa Dat. '!$J$6+'Taboa Dat. '!$J$8),IF(AND(OR(D9='Taboa Dat. '!$J$4,'Taboa Dat. '!$K$4,'Taboa Dat. '!$L$4,'Taboa Dat. '!$M$4,'Taboa Dat. '!$N$4),'Gastos de Persoal'!O9="g"),'Gastos de Persoal'!N9*('Taboa Dat. '!$J$5+'Taboa Dat. '!$J$6+'Taboa Dat. '!$J$9),'Gastos de Persoal'!N9*SUM('Taboa Dat. '!$O$5:$O$7))))</f>
        <v>#N/A</v>
      </c>
      <c r="Q9" s="37"/>
      <c r="R9" s="37" t="e">
        <f t="shared" si="0"/>
        <v>#N/A</v>
      </c>
    </row>
    <row r="10" spans="1:24" ht="15" customHeight="1">
      <c r="A10" s="7"/>
      <c r="B10" s="25"/>
      <c r="C10" s="25"/>
      <c r="D10" s="25"/>
      <c r="E10" s="212"/>
      <c r="F10" s="213"/>
      <c r="G10" s="213"/>
      <c r="H10" s="37" t="e">
        <f>+VLOOKUP(B10,'Taboa Dat. '!$A$4:$C$41,3)*12*G10*F10</f>
        <v>#N/A</v>
      </c>
      <c r="I10" s="163"/>
      <c r="J10" s="37">
        <f>IF(I10="",0,+VLOOKUP(I10,'Taboa Dat. '!$H$13:$J$17,3)*12*F10*G10)</f>
        <v>0</v>
      </c>
      <c r="K10" s="37">
        <f t="shared" si="1"/>
        <v>0</v>
      </c>
      <c r="L10" s="37" t="e">
        <f>(+VLOOKUP(B10,'Taboa Dat. '!$A$4:D$41,4)*12*F10*G10)*2</f>
        <v>#N/A</v>
      </c>
      <c r="M10" s="37" t="e">
        <f t="shared" si="2"/>
        <v>#N/A</v>
      </c>
      <c r="N10" s="37" t="e">
        <f t="shared" si="3"/>
        <v>#N/A</v>
      </c>
      <c r="O10" s="214"/>
      <c r="P10" s="37" t="e">
        <f>+IF(AND(OR(D10='Taboa Dat. '!$J$4,D10='Taboa Dat. '!$K$4,D10='Taboa Dat. '!$L$4,D10='Taboa Dat. '!$M$4,D10='Taboa Dat. '!$N$4),'Gastos de Persoal'!O10=""),'Gastos de Persoal'!N10*SUM('Taboa Dat. '!$J$5:$J$7),IF(AND(OR(D10='Taboa Dat. '!$J$4,'Taboa Dat. '!$K$4,'Taboa Dat. '!$L$4,'Taboa Dat. '!$M$4,'Taboa Dat. '!$N$4),'Gastos de Persoal'!O10="a"),'Gastos de Persoal'!N10*('Taboa Dat. '!$J$5+'Taboa Dat. '!$J$6+'Taboa Dat. '!$J$8),IF(AND(OR(D10='Taboa Dat. '!$J$4,'Taboa Dat. '!$K$4,'Taboa Dat. '!$L$4,'Taboa Dat. '!$M$4,'Taboa Dat. '!$N$4),'Gastos de Persoal'!O10="g"),'Gastos de Persoal'!N10*('Taboa Dat. '!$J$5+'Taboa Dat. '!$J$6+'Taboa Dat. '!$J$9),'Gastos de Persoal'!N10*SUM('Taboa Dat. '!$O$5:$O$7))))</f>
        <v>#N/A</v>
      </c>
      <c r="Q10" s="37"/>
      <c r="R10" s="37" t="e">
        <f t="shared" si="0"/>
        <v>#N/A</v>
      </c>
    </row>
    <row r="11" spans="1:24" ht="15" customHeight="1">
      <c r="A11" s="217"/>
      <c r="B11" s="218"/>
      <c r="C11" s="25"/>
      <c r="D11" s="25"/>
      <c r="E11" s="212"/>
      <c r="F11" s="213"/>
      <c r="G11" s="213"/>
      <c r="H11" s="37" t="e">
        <f>+VLOOKUP(B11,'Taboa Dat. '!$A$4:$C$41,3)*12*G11*F11</f>
        <v>#N/A</v>
      </c>
      <c r="I11" s="163"/>
      <c r="J11" s="37">
        <f>IF(I11="",0,+VLOOKUP(I11,'Taboa Dat. '!$H$13:$J$17,3)*12*F11*G11)</f>
        <v>0</v>
      </c>
      <c r="K11" s="37">
        <f t="shared" si="1"/>
        <v>0</v>
      </c>
      <c r="L11" s="37" t="e">
        <f>(+VLOOKUP(B11,'Taboa Dat. '!$A$4:D$41,4)*12*F11*G11)*2</f>
        <v>#N/A</v>
      </c>
      <c r="M11" s="37" t="e">
        <f t="shared" si="2"/>
        <v>#N/A</v>
      </c>
      <c r="N11" s="37" t="e">
        <f t="shared" si="3"/>
        <v>#N/A</v>
      </c>
      <c r="O11" s="214"/>
      <c r="P11" s="37" t="e">
        <f>+IF(AND(OR(D11='Taboa Dat. '!$J$4,D11='Taboa Dat. '!$K$4,D11='Taboa Dat. '!$L$4,D11='Taboa Dat. '!$M$4,D11='Taboa Dat. '!$N$4),'Gastos de Persoal'!O11=""),'Gastos de Persoal'!N11*SUM('Taboa Dat. '!$J$5:$J$7),IF(AND(OR(D11='Taboa Dat. '!$J$4,'Taboa Dat. '!$K$4,'Taboa Dat. '!$L$4,'Taboa Dat. '!$M$4,'Taboa Dat. '!$N$4),'Gastos de Persoal'!O11="a"),'Gastos de Persoal'!N11*('Taboa Dat. '!$J$5+'Taboa Dat. '!$J$6+'Taboa Dat. '!$J$8),IF(AND(OR(D11='Taboa Dat. '!$J$4,'Taboa Dat. '!$K$4,'Taboa Dat. '!$L$4,'Taboa Dat. '!$M$4,'Taboa Dat. '!$N$4),'Gastos de Persoal'!O11="g"),'Gastos de Persoal'!N11*('Taboa Dat. '!$J$5+'Taboa Dat. '!$J$6+'Taboa Dat. '!$J$9),'Gastos de Persoal'!N11*SUM('Taboa Dat. '!$O$5:$O$7))))</f>
        <v>#N/A</v>
      </c>
      <c r="Q11" s="37"/>
      <c r="R11" s="37" t="e">
        <f t="shared" si="0"/>
        <v>#N/A</v>
      </c>
    </row>
    <row r="12" spans="1:24" ht="15" customHeight="1">
      <c r="A12" s="158"/>
      <c r="B12" s="219"/>
      <c r="C12" s="25"/>
      <c r="D12" s="25"/>
      <c r="E12" s="212"/>
      <c r="F12" s="213"/>
      <c r="G12" s="213"/>
      <c r="H12" s="37" t="e">
        <f>(+VLOOKUP(B12,'Taboa Dat. '!$A$4:$C$41,3)+23.54)*12*G12*F12-12532.91</f>
        <v>#N/A</v>
      </c>
      <c r="I12" s="163"/>
      <c r="J12" s="37">
        <f>IF(I12="",0,+VLOOKUP(I12,'Taboa Dat. '!$H$13:$J$17,3)*12*F12*G12)</f>
        <v>0</v>
      </c>
      <c r="K12" s="37">
        <f t="shared" si="1"/>
        <v>0</v>
      </c>
      <c r="L12" s="37" t="e">
        <f>((+VLOOKUP(B12,'Taboa Dat. '!$A$4:D$41,4)+0.88)*12*F12*G12)*2-927.51</f>
        <v>#N/A</v>
      </c>
      <c r="M12" s="37" t="e">
        <f t="shared" si="2"/>
        <v>#N/A</v>
      </c>
      <c r="N12" s="37" t="e">
        <f t="shared" si="3"/>
        <v>#N/A</v>
      </c>
      <c r="O12" s="214"/>
      <c r="P12" s="37" t="e">
        <f>+IF(AND(OR(D12='Taboa Dat. '!$J$4,D12='Taboa Dat. '!$K$4,D12='Taboa Dat. '!$L$4,D12='Taboa Dat. '!$M$4,D12='Taboa Dat. '!$N$4),'Gastos de Persoal'!O12=""),'Gastos de Persoal'!N12*SUM('Taboa Dat. '!$J$5:$J$7),IF(AND(OR(D12='Taboa Dat. '!$J$4,'Taboa Dat. '!$K$4,'Taboa Dat. '!$L$4,'Taboa Dat. '!$M$4,'Taboa Dat. '!$N$4),'Gastos de Persoal'!O12="a"),'Gastos de Persoal'!N12*('Taboa Dat. '!$J$5+'Taboa Dat. '!$J$6+'Taboa Dat. '!$J$8),IF(AND(OR(D12='Taboa Dat. '!$J$4,'Taboa Dat. '!$K$4,'Taboa Dat. '!$L$4,'Taboa Dat. '!$M$4,'Taboa Dat. '!$N$4),'Gastos de Persoal'!O12="g"),'Gastos de Persoal'!N12*('Taboa Dat. '!$J$5+'Taboa Dat. '!$J$6+'Taboa Dat. '!$J$9),'Gastos de Persoal'!N12*SUM('Taboa Dat. '!$O$5:$O$7))))+5540.47</f>
        <v>#N/A</v>
      </c>
      <c r="Q12" s="287"/>
      <c r="R12" s="37" t="e">
        <f>+P12+N12-Q12</f>
        <v>#N/A</v>
      </c>
      <c r="S12" s="312"/>
      <c r="T12" s="170"/>
      <c r="X12" s="313"/>
    </row>
    <row r="13" spans="1:24" ht="15" customHeight="1">
      <c r="A13" s="217"/>
      <c r="B13" s="218"/>
      <c r="C13" s="25"/>
      <c r="D13" s="25"/>
      <c r="E13" s="212"/>
      <c r="F13" s="213"/>
      <c r="G13" s="213"/>
      <c r="H13" s="37" t="e">
        <f>(+VLOOKUP(B13,'Taboa Dat. '!$A$4:$C$41,3)+23.54)*12*G13*F13</f>
        <v>#N/A</v>
      </c>
      <c r="I13" s="163"/>
      <c r="J13" s="37">
        <f>IF(I13="",0,+VLOOKUP(I13,'Taboa Dat. '!$H$13:$J$17,3)*12*F13*G13)</f>
        <v>0</v>
      </c>
      <c r="K13" s="37">
        <f t="shared" si="1"/>
        <v>0</v>
      </c>
      <c r="L13" s="37" t="e">
        <f>((+VLOOKUP(B13,'Taboa Dat. '!$A$4:D$41,4)+0.88)*12*F13*G13)*2</f>
        <v>#N/A</v>
      </c>
      <c r="M13" s="37" t="e">
        <f t="shared" si="2"/>
        <v>#N/A</v>
      </c>
      <c r="N13" s="37" t="e">
        <f t="shared" si="3"/>
        <v>#N/A</v>
      </c>
      <c r="O13" s="214"/>
      <c r="P13" s="320" t="e">
        <f>+IF(AND(OR(D13='Taboa Dat. '!$J$4,D13='Taboa Dat. '!$K$4,D13='Taboa Dat. '!$L$4,D13='Taboa Dat. '!$M$4,D13='Taboa Dat. '!$N$4),'Gastos de Persoal'!O13=""),'Gastos de Persoal'!N13*SUM('Taboa Dat. '!$J$5:$J$7),IF(AND(OR(D13='Taboa Dat. '!$J$4,'Taboa Dat. '!$K$4,'Taboa Dat. '!$L$4,'Taboa Dat. '!$M$4,'Taboa Dat. '!$N$4),'Gastos de Persoal'!O13="a"),'Gastos de Persoal'!N13*('Taboa Dat. '!$J$5+'Taboa Dat. '!$J$6+'Taboa Dat. '!$J$8),IF(AND(OR(D13='Taboa Dat. '!$J$4,'Taboa Dat. '!$K$4,'Taboa Dat. '!$L$4,'Taboa Dat. '!$M$4,'Taboa Dat. '!$N$4),'Gastos de Persoal'!O13="g"),'Gastos de Persoal'!N13*('Taboa Dat. '!$J$5+'Taboa Dat. '!$J$6+'Taboa Dat. '!$J$9),'Gastos de Persoal'!N13*SUM('Taboa Dat. '!$O$5:$O$7))))*0.6343</f>
        <v>#N/A</v>
      </c>
      <c r="Q13" s="37"/>
      <c r="R13" s="37" t="e">
        <f t="shared" si="0"/>
        <v>#N/A</v>
      </c>
      <c r="S13" s="313"/>
    </row>
    <row r="14" spans="1:24" ht="15" customHeight="1">
      <c r="A14" s="220"/>
      <c r="B14" s="186"/>
      <c r="C14" s="25"/>
      <c r="D14" s="25"/>
      <c r="E14" s="212"/>
      <c r="F14" s="213"/>
      <c r="G14" s="213"/>
      <c r="H14" s="37" t="e">
        <f>+VLOOKUP(B14,'Taboa Dat. '!$A$4:$C$41,3)*12*G14*F14</f>
        <v>#N/A</v>
      </c>
      <c r="I14" s="163"/>
      <c r="J14" s="37">
        <f>IF(I14="",0,+VLOOKUP(I14,'Taboa Dat. '!$H$13:$J$17,3)*12*F14*G14)</f>
        <v>0</v>
      </c>
      <c r="K14" s="37">
        <f t="shared" si="1"/>
        <v>0</v>
      </c>
      <c r="L14" s="37" t="e">
        <f>(+VLOOKUP(B14,'Taboa Dat. '!$A$4:D$41,4)*12*F14*G14)*2</f>
        <v>#N/A</v>
      </c>
      <c r="M14" s="37" t="e">
        <f t="shared" si="2"/>
        <v>#N/A</v>
      </c>
      <c r="N14" s="37" t="e">
        <f t="shared" si="3"/>
        <v>#N/A</v>
      </c>
      <c r="O14" s="214"/>
      <c r="P14" s="37" t="e">
        <f>+IF(AND(OR(D14='Taboa Dat. '!$J$4,D14='Taboa Dat. '!$K$4,D14='Taboa Dat. '!$L$4,D14='Taboa Dat. '!$M$4,D14='Taboa Dat. '!$N$4),'Gastos de Persoal'!O14=""),'Gastos de Persoal'!N14*SUM('Taboa Dat. '!$J$5:$J$7),IF(AND(OR(D14='Taboa Dat. '!$J$4,'Taboa Dat. '!$K$4,'Taboa Dat. '!$L$4,'Taboa Dat. '!$M$4,'Taboa Dat. '!$N$4),'Gastos de Persoal'!O14="a"),'Gastos de Persoal'!N14*('Taboa Dat. '!$J$5+'Taboa Dat. '!$J$6+'Taboa Dat. '!$J$8),IF(AND(OR(D14='Taboa Dat. '!$J$4,'Taboa Dat. '!$K$4,'Taboa Dat. '!$L$4,'Taboa Dat. '!$M$4,'Taboa Dat. '!$N$4),'Gastos de Persoal'!O14="g"),'Gastos de Persoal'!N14*('Taboa Dat. '!$J$5+'Taboa Dat. '!$J$6+'Taboa Dat. '!$J$9),'Gastos de Persoal'!N14*SUM('Taboa Dat. '!$O$5:$O$7))))</f>
        <v>#N/A</v>
      </c>
      <c r="Q14" s="37"/>
      <c r="R14" s="37" t="e">
        <f t="shared" si="0"/>
        <v>#N/A</v>
      </c>
    </row>
    <row r="15" spans="1:24" ht="15" customHeight="1">
      <c r="A15" s="158"/>
      <c r="B15" s="219"/>
      <c r="C15" s="25"/>
      <c r="D15" s="25"/>
      <c r="E15" s="212"/>
      <c r="F15" s="213"/>
      <c r="G15" s="213"/>
      <c r="H15" s="37" t="e">
        <f>+VLOOKUP(B15,'Taboa Dat. '!$A$4:$C$41,3)*12*G15*F15</f>
        <v>#N/A</v>
      </c>
      <c r="I15" s="163"/>
      <c r="J15" s="37">
        <f>IF(I15="",0,+VLOOKUP(I15,'Taboa Dat. '!$H$13:$J$17,3)*12*F15*G15)</f>
        <v>0</v>
      </c>
      <c r="K15" s="37">
        <f t="shared" si="1"/>
        <v>0</v>
      </c>
      <c r="L15" s="37" t="e">
        <f>(+VLOOKUP(B15,'Taboa Dat. '!$A$4:D$41,4)*12*F15*G15)*2</f>
        <v>#N/A</v>
      </c>
      <c r="M15" s="37" t="e">
        <f t="shared" si="2"/>
        <v>#N/A</v>
      </c>
      <c r="N15" s="37" t="e">
        <f t="shared" si="3"/>
        <v>#N/A</v>
      </c>
      <c r="O15" s="214"/>
      <c r="P15" s="37" t="e">
        <f>+IF(AND(OR(D15='Taboa Dat. '!$J$4,D15='Taboa Dat. '!$K$4,D15='Taboa Dat. '!$L$4,D15='Taboa Dat. '!$M$4,D15='Taboa Dat. '!$N$4),'Gastos de Persoal'!O15=""),'Gastos de Persoal'!N15*SUM('Taboa Dat. '!$J$5:$J$7),IF(AND(OR(D15='Taboa Dat. '!$J$4,'Taboa Dat. '!$K$4,'Taboa Dat. '!$L$4,'Taboa Dat. '!$M$4,'Taboa Dat. '!$N$4),'Gastos de Persoal'!O15="a"),'Gastos de Persoal'!N15*('Taboa Dat. '!$J$5+'Taboa Dat. '!$J$6+'Taboa Dat. '!$J$8),IF(AND(OR(D15='Taboa Dat. '!$J$4,'Taboa Dat. '!$K$4,'Taboa Dat. '!$L$4,'Taboa Dat. '!$M$4,'Taboa Dat. '!$N$4),'Gastos de Persoal'!O15="g"),'Gastos de Persoal'!N15*('Taboa Dat. '!$J$5+'Taboa Dat. '!$J$6+'Taboa Dat. '!$J$9),'Gastos de Persoal'!N15*SUM('Taboa Dat. '!$O$5:$O$7))))</f>
        <v>#N/A</v>
      </c>
      <c r="Q15" s="37"/>
      <c r="R15" s="37" t="e">
        <f t="shared" si="0"/>
        <v>#N/A</v>
      </c>
    </row>
    <row r="16" spans="1:24" ht="15" customHeight="1">
      <c r="A16" s="220"/>
      <c r="B16" s="186"/>
      <c r="C16" s="25"/>
      <c r="D16" s="25"/>
      <c r="E16" s="212"/>
      <c r="F16" s="213"/>
      <c r="G16" s="213"/>
      <c r="H16" s="37" t="e">
        <f>+VLOOKUP(B16,'Taboa Dat. '!$A$4:$C$41,3)*12*G16*F16-12250.43</f>
        <v>#N/A</v>
      </c>
      <c r="I16" s="163"/>
      <c r="J16" s="37">
        <f>IF(I16="",0,+VLOOKUP(I16,'Taboa Dat. '!$H$13:$J$17,3)*12*F16*G16)</f>
        <v>0</v>
      </c>
      <c r="K16" s="37">
        <f t="shared" si="1"/>
        <v>0</v>
      </c>
      <c r="L16" s="37" t="e">
        <f>(+VLOOKUP(B16,'Taboa Dat. '!$A$4:D$41,4)*12*F16*G16)*2-906.39</f>
        <v>#N/A</v>
      </c>
      <c r="M16" s="37" t="e">
        <f t="shared" si="2"/>
        <v>#N/A</v>
      </c>
      <c r="N16" s="37" t="e">
        <f t="shared" si="3"/>
        <v>#N/A</v>
      </c>
      <c r="O16" s="214"/>
      <c r="P16" s="37" t="e">
        <f>+IF(AND(OR(D16='Taboa Dat. '!$J$4,D16='Taboa Dat. '!$K$4,D16='Taboa Dat. '!$L$4,D16='Taboa Dat. '!$M$4,D16='Taboa Dat. '!$N$4),'Gastos de Persoal'!O16=""),'Gastos de Persoal'!N16*SUM('Taboa Dat. '!$J$5:$J$7),IF(AND(OR(D16='Taboa Dat. '!$J$4,'Taboa Dat. '!$K$4,'Taboa Dat. '!$L$4,'Taboa Dat. '!$M$4,'Taboa Dat. '!$N$4),'Gastos de Persoal'!O16="a"),'Gastos de Persoal'!N16*('Taboa Dat. '!$J$5+'Taboa Dat. '!$J$6+'Taboa Dat. '!$J$8),IF(AND(OR(D16='Taboa Dat. '!$J$4,'Taboa Dat. '!$K$4,'Taboa Dat. '!$L$4,'Taboa Dat. '!$M$4,'Taboa Dat. '!$N$4),'Gastos de Persoal'!O16="g"),'Gastos de Persoal'!N16*('Taboa Dat. '!$J$5+'Taboa Dat. '!$J$6+'Taboa Dat. '!$J$9),'Gastos de Persoal'!N16*SUM('Taboa Dat. '!$O$5:$O$7))))+4991.86</f>
        <v>#N/A</v>
      </c>
      <c r="Q16" s="287"/>
      <c r="R16" s="37" t="e">
        <f t="shared" si="0"/>
        <v>#N/A</v>
      </c>
      <c r="S16" s="312"/>
      <c r="T16" s="170"/>
    </row>
    <row r="17" spans="1:19" ht="15" customHeight="1">
      <c r="A17" s="7"/>
      <c r="B17" s="25"/>
      <c r="C17" s="25"/>
      <c r="D17" s="25"/>
      <c r="E17" s="212"/>
      <c r="F17" s="213"/>
      <c r="G17" s="213"/>
      <c r="H17" s="37" t="e">
        <f>+VLOOKUP(B17,'Taboa Dat. '!$A$4:$C$41,3)*12*G17*F17</f>
        <v>#N/A</v>
      </c>
      <c r="I17" s="163"/>
      <c r="J17" s="37">
        <f>IF(I17="",0,+VLOOKUP(I17,'Taboa Dat. '!$H$13:$J$17,3)*12*F17*G17)</f>
        <v>0</v>
      </c>
      <c r="K17" s="37">
        <f t="shared" si="1"/>
        <v>0</v>
      </c>
      <c r="L17" s="37" t="e">
        <f>(+VLOOKUP(B17,'Taboa Dat. '!$A$4:D$41,4)*12*F17*G17)*2</f>
        <v>#N/A</v>
      </c>
      <c r="M17" s="37" t="e">
        <f t="shared" si="2"/>
        <v>#N/A</v>
      </c>
      <c r="N17" s="37" t="e">
        <f t="shared" si="3"/>
        <v>#N/A</v>
      </c>
      <c r="O17" s="214"/>
      <c r="P17" s="37" t="e">
        <f>+IF(AND(OR(D17='Taboa Dat. '!$J$4,D17='Taboa Dat. '!$K$4,D17='Taboa Dat. '!$L$4,D17='Taboa Dat. '!$M$4,D17='Taboa Dat. '!$N$4),'Gastos de Persoal'!O17=""),'Gastos de Persoal'!N17*SUM('Taboa Dat. '!$J$5:$J$7),IF(AND(OR(D17='Taboa Dat. '!$J$4,'Taboa Dat. '!$K$4,'Taboa Dat. '!$L$4,'Taboa Dat. '!$M$4,'Taboa Dat. '!$N$4),'Gastos de Persoal'!O17="a"),'Gastos de Persoal'!N17*('Taboa Dat. '!$J$5+'Taboa Dat. '!$J$6+'Taboa Dat. '!$J$8),IF(AND(OR(D17='Taboa Dat. '!$J$4,'Taboa Dat. '!$K$4,'Taboa Dat. '!$L$4,'Taboa Dat. '!$M$4,'Taboa Dat. '!$N$4),'Gastos de Persoal'!O17="g"),'Gastos de Persoal'!N17*('Taboa Dat. '!$J$5+'Taboa Dat. '!$J$6+'Taboa Dat. '!$J$9),'Gastos de Persoal'!N17*SUM('Taboa Dat. '!$O$5:$O$7))))</f>
        <v>#N/A</v>
      </c>
      <c r="Q17" s="37"/>
      <c r="R17" s="37" t="e">
        <f t="shared" si="0"/>
        <v>#N/A</v>
      </c>
    </row>
    <row r="18" spans="1:19" ht="15" customHeight="1">
      <c r="A18" s="7"/>
      <c r="B18" s="25"/>
      <c r="C18" s="25"/>
      <c r="D18" s="25"/>
      <c r="E18" s="212"/>
      <c r="F18" s="213"/>
      <c r="G18" s="213"/>
      <c r="H18" s="37" t="e">
        <f>+VLOOKUP(B18,'Taboa Dat. '!$A$4:$C$41,3)*12*G18*F18</f>
        <v>#N/A</v>
      </c>
      <c r="I18" s="163"/>
      <c r="J18" s="37">
        <f>IF(I18="",0,+VLOOKUP(I18,'Taboa Dat. '!$H$13:$J$17,3)*12*F18*G18)</f>
        <v>0</v>
      </c>
      <c r="K18" s="37">
        <f t="shared" si="1"/>
        <v>0</v>
      </c>
      <c r="L18" s="37" t="e">
        <f>(+VLOOKUP(B18,'Taboa Dat. '!$A$4:D$41,4)*12*F18*G18)*2</f>
        <v>#N/A</v>
      </c>
      <c r="M18" s="37" t="e">
        <f t="shared" si="2"/>
        <v>#N/A</v>
      </c>
      <c r="N18" s="37" t="e">
        <f t="shared" si="3"/>
        <v>#N/A</v>
      </c>
      <c r="O18" s="214"/>
      <c r="P18" s="37" t="e">
        <f>+IF(AND(OR(D18='Taboa Dat. '!$J$4,D18='Taboa Dat. '!$K$4,D18='Taboa Dat. '!$L$4,D18='Taboa Dat. '!$M$4,D18='Taboa Dat. '!$N$4),'Gastos de Persoal'!O18=""),'Gastos de Persoal'!N18*SUM('Taboa Dat. '!$J$5:$J$7),IF(AND(OR(D18='Taboa Dat. '!$J$4,'Taboa Dat. '!$K$4,'Taboa Dat. '!$L$4,'Taboa Dat. '!$M$4,'Taboa Dat. '!$N$4),'Gastos de Persoal'!O18="a"),'Gastos de Persoal'!N18*('Taboa Dat. '!$J$5+'Taboa Dat. '!$J$6+'Taboa Dat. '!$J$8),IF(AND(OR(D18='Taboa Dat. '!$J$4,'Taboa Dat. '!$K$4,'Taboa Dat. '!$L$4,'Taboa Dat. '!$M$4,'Taboa Dat. '!$N$4),'Gastos de Persoal'!O18="g"),'Gastos de Persoal'!N18*('Taboa Dat. '!$J$5+'Taboa Dat. '!$J$6+'Taboa Dat. '!$J$9),'Gastos de Persoal'!N18*SUM('Taboa Dat. '!$O$5:$O$7))))</f>
        <v>#N/A</v>
      </c>
      <c r="Q18" s="37"/>
      <c r="R18" s="37" t="e">
        <f t="shared" si="0"/>
        <v>#N/A</v>
      </c>
    </row>
    <row r="19" spans="1:19" ht="15" customHeight="1">
      <c r="A19" s="159"/>
      <c r="B19" s="215"/>
      <c r="C19" s="25"/>
      <c r="D19" s="25"/>
      <c r="E19" s="212"/>
      <c r="F19" s="213"/>
      <c r="G19" s="213"/>
      <c r="H19" s="37" t="e">
        <f>+VLOOKUP(B19,'Taboa Dat. '!$A$4:$C$41,3)*12*G19*F19</f>
        <v>#N/A</v>
      </c>
      <c r="I19" s="163"/>
      <c r="J19" s="37">
        <f>IF(I19="",0,+VLOOKUP(I19,'Taboa Dat. '!$H$13:$J$17,3)*12*F19*G19)</f>
        <v>0</v>
      </c>
      <c r="K19" s="37">
        <f t="shared" si="1"/>
        <v>0</v>
      </c>
      <c r="L19" s="37" t="e">
        <f>(+VLOOKUP(B19,'Taboa Dat. '!$A$4:D$41,4)*12*F19*G19)*2</f>
        <v>#N/A</v>
      </c>
      <c r="M19" s="37" t="e">
        <f t="shared" si="2"/>
        <v>#N/A</v>
      </c>
      <c r="N19" s="37" t="e">
        <f t="shared" si="3"/>
        <v>#N/A</v>
      </c>
      <c r="O19" s="214"/>
      <c r="P19" s="37" t="e">
        <f>+IF(AND(OR(D19='Taboa Dat. '!$J$4,D19='Taboa Dat. '!$K$4,D19='Taboa Dat. '!$L$4,D19='Taboa Dat. '!$M$4,D19='Taboa Dat. '!$N$4),'Gastos de Persoal'!O19=""),'Gastos de Persoal'!N19*SUM('Taboa Dat. '!$J$5:$J$7),IF(AND(OR(D19='Taboa Dat. '!$J$4,'Taboa Dat. '!$K$4,'Taboa Dat. '!$L$4,'Taboa Dat. '!$M$4,'Taboa Dat. '!$N$4),'Gastos de Persoal'!O19="a"),'Gastos de Persoal'!N19*('Taboa Dat. '!$J$5+'Taboa Dat. '!$J$6+'Taboa Dat. '!$J$8),IF(AND(OR(D19='Taboa Dat. '!$J$4,'Taboa Dat. '!$K$4,'Taboa Dat. '!$L$4,'Taboa Dat. '!$M$4,'Taboa Dat. '!$N$4),'Gastos de Persoal'!O19="g"),'Gastos de Persoal'!N19*('Taboa Dat. '!$J$5+'Taboa Dat. '!$J$6+'Taboa Dat. '!$J$9),'Gastos de Persoal'!N19*SUM('Taboa Dat. '!$O$5:$O$7))))</f>
        <v>#N/A</v>
      </c>
      <c r="Q19" s="37"/>
      <c r="R19" s="37" t="e">
        <f t="shared" si="0"/>
        <v>#N/A</v>
      </c>
    </row>
    <row r="20" spans="1:19" ht="15" customHeight="1">
      <c r="A20" s="7"/>
      <c r="B20" s="25"/>
      <c r="C20" s="25"/>
      <c r="D20" s="25"/>
      <c r="E20" s="212"/>
      <c r="F20" s="213"/>
      <c r="G20" s="213"/>
      <c r="H20" s="37" t="e">
        <f>+VLOOKUP(B20,'Taboa Dat. '!$A$4:$C$41,3)*12*G20*F20</f>
        <v>#N/A</v>
      </c>
      <c r="I20" s="163"/>
      <c r="J20" s="37">
        <f>IF(I20="",0,+VLOOKUP(I20,'Taboa Dat. '!$H$13:$J$17,3)*12*F20*G20)</f>
        <v>0</v>
      </c>
      <c r="K20" s="37">
        <f t="shared" si="1"/>
        <v>0</v>
      </c>
      <c r="L20" s="37" t="e">
        <f>(+VLOOKUP(B20,'Taboa Dat. '!$A$4:D$41,4)*12*F20*G20)*2</f>
        <v>#N/A</v>
      </c>
      <c r="M20" s="37" t="e">
        <f t="shared" si="2"/>
        <v>#N/A</v>
      </c>
      <c r="N20" s="37" t="e">
        <f t="shared" si="3"/>
        <v>#N/A</v>
      </c>
      <c r="O20" s="214"/>
      <c r="P20" s="37" t="e">
        <f>+IF(AND(OR(D20='Taboa Dat. '!$J$4,D20='Taboa Dat. '!$K$4,D20='Taboa Dat. '!$L$4,D20='Taboa Dat. '!$M$4,D20='Taboa Dat. '!$N$4),'Gastos de Persoal'!O20=""),'Gastos de Persoal'!N20*SUM('Taboa Dat. '!$J$5:$J$7),IF(AND(OR(D20='Taboa Dat. '!$J$4,'Taboa Dat. '!$K$4,'Taboa Dat. '!$L$4,'Taboa Dat. '!$M$4,'Taboa Dat. '!$N$4),'Gastos de Persoal'!O20="a"),'Gastos de Persoal'!N20*('Taboa Dat. '!$J$5+'Taboa Dat. '!$J$6+'Taboa Dat. '!$J$8),IF(AND(OR(D20='Taboa Dat. '!$J$4,'Taboa Dat. '!$K$4,'Taboa Dat. '!$L$4,'Taboa Dat. '!$M$4,'Taboa Dat. '!$N$4),'Gastos de Persoal'!O20="g"),'Gastos de Persoal'!N20*('Taboa Dat. '!$J$5+'Taboa Dat. '!$J$6+'Taboa Dat. '!$J$9),'Gastos de Persoal'!N20*SUM('Taboa Dat. '!$O$5:$O$7))))</f>
        <v>#N/A</v>
      </c>
      <c r="Q20" s="37"/>
      <c r="R20" s="37" t="e">
        <f t="shared" si="0"/>
        <v>#N/A</v>
      </c>
    </row>
    <row r="21" spans="1:19" ht="15" customHeight="1">
      <c r="A21" s="7"/>
      <c r="B21" s="25"/>
      <c r="C21" s="25"/>
      <c r="D21" s="25"/>
      <c r="E21" s="212"/>
      <c r="F21" s="213"/>
      <c r="G21" s="213"/>
      <c r="H21" s="37" t="e">
        <f>+VLOOKUP(B21,'Taboa Dat. '!$A$4:$C$41,3)*12*G21*F21</f>
        <v>#N/A</v>
      </c>
      <c r="I21" s="163"/>
      <c r="J21" s="37">
        <f>IF(I21="",0,+VLOOKUP(I21,'Taboa Dat. '!$H$13:$J$17,3)*12*F21*G21)</f>
        <v>0</v>
      </c>
      <c r="K21" s="37">
        <f t="shared" si="1"/>
        <v>0</v>
      </c>
      <c r="L21" s="37" t="e">
        <f>(+VLOOKUP(B21,'Taboa Dat. '!$A$4:D$41,4)*12*F21*G21)*2</f>
        <v>#N/A</v>
      </c>
      <c r="M21" s="37" t="e">
        <f t="shared" si="2"/>
        <v>#N/A</v>
      </c>
      <c r="N21" s="37" t="e">
        <f t="shared" si="3"/>
        <v>#N/A</v>
      </c>
      <c r="O21" s="214"/>
      <c r="P21" s="37" t="e">
        <f>+IF(AND(OR(D21='Taboa Dat. '!$J$4,D21='Taboa Dat. '!$K$4,D21='Taboa Dat. '!$L$4,D21='Taboa Dat. '!$M$4,D21='Taboa Dat. '!$N$4),'Gastos de Persoal'!O21=""),'Gastos de Persoal'!N21*SUM('Taboa Dat. '!$J$5:$J$7),IF(AND(OR(D21='Taboa Dat. '!$J$4,'Taboa Dat. '!$K$4,'Taboa Dat. '!$L$4,'Taboa Dat. '!$M$4,'Taboa Dat. '!$N$4),'Gastos de Persoal'!O21="a"),'Gastos de Persoal'!N21*('Taboa Dat. '!$J$5+'Taboa Dat. '!$J$6+'Taboa Dat. '!$J$8),IF(AND(OR(D21='Taboa Dat. '!$J$4,'Taboa Dat. '!$K$4,'Taboa Dat. '!$L$4,'Taboa Dat. '!$M$4,'Taboa Dat. '!$N$4),'Gastos de Persoal'!O21="g"),'Gastos de Persoal'!N21*('Taboa Dat. '!$J$5+'Taboa Dat. '!$J$6+'Taboa Dat. '!$J$9),'Gastos de Persoal'!N21*SUM('Taboa Dat. '!$O$5:$O$7))))</f>
        <v>#N/A</v>
      </c>
      <c r="Q21" s="37"/>
      <c r="R21" s="37" t="e">
        <f t="shared" si="0"/>
        <v>#N/A</v>
      </c>
    </row>
    <row r="22" spans="1:19" ht="15" customHeight="1">
      <c r="A22" s="7"/>
      <c r="B22" s="25"/>
      <c r="C22" s="25"/>
      <c r="D22" s="25"/>
      <c r="E22" s="212"/>
      <c r="F22" s="213"/>
      <c r="G22" s="213"/>
      <c r="H22" s="37" t="e">
        <f>+VLOOKUP(B22,'Taboa Dat. '!$A$4:$C$41,3)*12*G22*F22</f>
        <v>#N/A</v>
      </c>
      <c r="I22" s="163"/>
      <c r="J22" s="37">
        <f>IF(I22="",0,+VLOOKUP(I22,'Taboa Dat. '!$H$13:$J$17,3)*12*F22*G22)</f>
        <v>0</v>
      </c>
      <c r="K22" s="37">
        <f t="shared" si="1"/>
        <v>0</v>
      </c>
      <c r="L22" s="37" t="e">
        <f>(+VLOOKUP(B22,'Taboa Dat. '!$A$4:D$41,4)*12*F22*G22)*2</f>
        <v>#N/A</v>
      </c>
      <c r="M22" s="37" t="e">
        <f t="shared" si="2"/>
        <v>#N/A</v>
      </c>
      <c r="N22" s="37" t="e">
        <f t="shared" si="3"/>
        <v>#N/A</v>
      </c>
      <c r="O22" s="214"/>
      <c r="P22" s="37" t="e">
        <f>+IF(AND(OR(D22='Taboa Dat. '!$J$4,D22='Taboa Dat. '!$K$4,D22='Taboa Dat. '!$L$4,D22='Taboa Dat. '!$M$4,D22='Taboa Dat. '!$N$4),'Gastos de Persoal'!O22=""),'Gastos de Persoal'!N22*SUM('Taboa Dat. '!$J$5:$J$7),IF(AND(OR(D22='Taboa Dat. '!$J$4,'Taboa Dat. '!$K$4,'Taboa Dat. '!$L$4,'Taboa Dat. '!$M$4,'Taboa Dat. '!$N$4),'Gastos de Persoal'!O22="a"),'Gastos de Persoal'!N22*('Taboa Dat. '!$J$5+'Taboa Dat. '!$J$6+'Taboa Dat. '!$J$8),IF(AND(OR(D22='Taboa Dat. '!$J$4,'Taboa Dat. '!$K$4,'Taboa Dat. '!$L$4,'Taboa Dat. '!$M$4,'Taboa Dat. '!$N$4),'Gastos de Persoal'!O22="g"),'Gastos de Persoal'!N22*('Taboa Dat. '!$J$5+'Taboa Dat. '!$J$6+'Taboa Dat. '!$J$9),'Gastos de Persoal'!N22*SUM('Taboa Dat. '!$O$5:$O$7))))</f>
        <v>#N/A</v>
      </c>
      <c r="Q22" s="37"/>
      <c r="R22" s="37" t="e">
        <f t="shared" si="0"/>
        <v>#N/A</v>
      </c>
    </row>
    <row r="23" spans="1:19" ht="15" customHeight="1">
      <c r="A23" s="7"/>
      <c r="B23" s="25"/>
      <c r="C23" s="25"/>
      <c r="D23" s="25"/>
      <c r="E23" s="212"/>
      <c r="F23" s="213"/>
      <c r="G23" s="213"/>
      <c r="H23" s="37" t="e">
        <f>+VLOOKUP(B23,'Taboa Dat. '!$A$4:$C$41,3)*12*G23*F23</f>
        <v>#N/A</v>
      </c>
      <c r="I23" s="163"/>
      <c r="J23" s="37">
        <f>IF(I23="",0,+VLOOKUP(I23,'Taboa Dat. '!$H$13:$J$17,3)*12*F23*G23)</f>
        <v>0</v>
      </c>
      <c r="K23" s="37">
        <f t="shared" si="1"/>
        <v>0</v>
      </c>
      <c r="L23" s="37" t="e">
        <f>(+VLOOKUP(B23,'Taboa Dat. '!$A$4:D$41,4)*12*F23*G23)*2</f>
        <v>#N/A</v>
      </c>
      <c r="M23" s="37" t="e">
        <f t="shared" si="2"/>
        <v>#N/A</v>
      </c>
      <c r="N23" s="37" t="e">
        <f t="shared" si="3"/>
        <v>#N/A</v>
      </c>
      <c r="O23" s="214"/>
      <c r="P23" s="37" t="e">
        <f>+IF(AND(OR(D23='Taboa Dat. '!$J$4,D23='Taboa Dat. '!$K$4,D23='Taboa Dat. '!$L$4,D23='Taboa Dat. '!$M$4,D23='Taboa Dat. '!$N$4),'Gastos de Persoal'!O23=""),'Gastos de Persoal'!N23*SUM('Taboa Dat. '!$J$5:$J$7),IF(AND(OR(D23='Taboa Dat. '!$J$4,'Taboa Dat. '!$K$4,'Taboa Dat. '!$L$4,'Taboa Dat. '!$M$4,'Taboa Dat. '!$N$4),'Gastos de Persoal'!O23="a"),'Gastos de Persoal'!N23*('Taboa Dat. '!$J$5+'Taboa Dat. '!$J$6+'Taboa Dat. '!$J$8),IF(AND(OR(D23='Taboa Dat. '!$J$4,'Taboa Dat. '!$K$4,'Taboa Dat. '!$L$4,'Taboa Dat. '!$M$4,'Taboa Dat. '!$N$4),'Gastos de Persoal'!O23="g"),'Gastos de Persoal'!N23*('Taboa Dat. '!$J$5+'Taboa Dat. '!$J$6+'Taboa Dat. '!$J$9),'Gastos de Persoal'!N23*SUM('Taboa Dat. '!$O$5:$O$7))))</f>
        <v>#N/A</v>
      </c>
      <c r="Q23" s="37"/>
      <c r="R23" s="37" t="e">
        <f t="shared" si="0"/>
        <v>#N/A</v>
      </c>
    </row>
    <row r="24" spans="1:19" ht="15" customHeight="1">
      <c r="A24" s="159"/>
      <c r="B24" s="215"/>
      <c r="C24" s="25"/>
      <c r="D24" s="25"/>
      <c r="E24" s="212"/>
      <c r="F24" s="213"/>
      <c r="G24" s="213"/>
      <c r="H24" s="37" t="e">
        <f>+VLOOKUP(B24,'Taboa Dat. '!$A$4:$C$41,3)*12*G24*F24</f>
        <v>#N/A</v>
      </c>
      <c r="I24" s="163"/>
      <c r="J24" s="37">
        <f>IF(I24="",0,+VLOOKUP(I24,'Taboa Dat. '!$H$13:$J$17,3)*12*F24*G24)</f>
        <v>0</v>
      </c>
      <c r="K24" s="37">
        <f t="shared" si="1"/>
        <v>0</v>
      </c>
      <c r="L24" s="37" t="e">
        <f>(+VLOOKUP(B24,'Taboa Dat. '!$A$4:D$41,4)*12*F24*G24)*2</f>
        <v>#N/A</v>
      </c>
      <c r="M24" s="37" t="e">
        <f t="shared" si="2"/>
        <v>#N/A</v>
      </c>
      <c r="N24" s="37" t="e">
        <f t="shared" si="3"/>
        <v>#N/A</v>
      </c>
      <c r="O24" s="214"/>
      <c r="P24" s="37" t="e">
        <f>+IF(AND(OR(D24='Taboa Dat. '!$J$4,D24='Taboa Dat. '!$K$4,D24='Taboa Dat. '!$L$4,D24='Taboa Dat. '!$M$4,D24='Taboa Dat. '!$N$4),'Gastos de Persoal'!O24=""),'Gastos de Persoal'!N24*SUM('Taboa Dat. '!$J$5:$J$7),IF(AND(OR(D24='Taboa Dat. '!$J$4,'Taboa Dat. '!$K$4,'Taboa Dat. '!$L$4,'Taboa Dat. '!$M$4,'Taboa Dat. '!$N$4),'Gastos de Persoal'!O24="a"),'Gastos de Persoal'!N24*('Taboa Dat. '!$J$5+'Taboa Dat. '!$J$6+'Taboa Dat. '!$J$8),IF(AND(OR(D24='Taboa Dat. '!$J$4,'Taboa Dat. '!$K$4,'Taboa Dat. '!$L$4,'Taboa Dat. '!$M$4,'Taboa Dat. '!$N$4),'Gastos de Persoal'!O24="g"),'Gastos de Persoal'!N24*('Taboa Dat. '!$J$5+'Taboa Dat. '!$J$6+'Taboa Dat. '!$J$9),'Gastos de Persoal'!N24*SUM('Taboa Dat. '!$O$5:$O$7))))</f>
        <v>#N/A</v>
      </c>
      <c r="Q24" s="37"/>
      <c r="R24" s="37" t="e">
        <f t="shared" si="0"/>
        <v>#N/A</v>
      </c>
    </row>
    <row r="25" spans="1:19" ht="15" customHeight="1">
      <c r="A25" s="159"/>
      <c r="B25" s="215"/>
      <c r="C25" s="25"/>
      <c r="D25" s="25"/>
      <c r="E25" s="212"/>
      <c r="F25" s="213"/>
      <c r="G25" s="213"/>
      <c r="H25" s="37" t="e">
        <f>+VLOOKUP(B25,'Taboa Dat. '!$A$4:$C$41,3)*12*G25*F25</f>
        <v>#N/A</v>
      </c>
      <c r="I25" s="163"/>
      <c r="J25" s="37">
        <f>IF(I25="",0,+VLOOKUP(I25,'Taboa Dat. '!$H$13:$J$17,3)*12*F25*G25)</f>
        <v>0</v>
      </c>
      <c r="K25" s="37">
        <f t="shared" si="1"/>
        <v>0</v>
      </c>
      <c r="L25" s="37" t="e">
        <f>(+VLOOKUP(B25,'Taboa Dat. '!$A$4:D$41,4)*12*F25*G25)*2</f>
        <v>#N/A</v>
      </c>
      <c r="M25" s="37" t="e">
        <f t="shared" si="2"/>
        <v>#N/A</v>
      </c>
      <c r="N25" s="37" t="e">
        <f t="shared" si="3"/>
        <v>#N/A</v>
      </c>
      <c r="O25" s="214"/>
      <c r="P25" s="37" t="e">
        <f>+IF(AND(OR(D25='Taboa Dat. '!$J$4,D25='Taboa Dat. '!$K$4,D25='Taboa Dat. '!$L$4,D25='Taboa Dat. '!$M$4,D25='Taboa Dat. '!$N$4),'Gastos de Persoal'!O25=""),'Gastos de Persoal'!N25*SUM('Taboa Dat. '!$J$5:$J$7),IF(AND(OR(D25='Taboa Dat. '!$J$4,'Taboa Dat. '!$K$4,'Taboa Dat. '!$L$4,'Taboa Dat. '!$M$4,'Taboa Dat. '!$N$4),'Gastos de Persoal'!O25="a"),'Gastos de Persoal'!N25*('Taboa Dat. '!$J$5+'Taboa Dat. '!$J$6+'Taboa Dat. '!$J$8),IF(AND(OR(D25='Taboa Dat. '!$J$4,'Taboa Dat. '!$K$4,'Taboa Dat. '!$L$4,'Taboa Dat. '!$M$4,'Taboa Dat. '!$N$4),'Gastos de Persoal'!O25="g"),'Gastos de Persoal'!N25*('Taboa Dat. '!$J$5+'Taboa Dat. '!$J$6+'Taboa Dat. '!$J$9),'Gastos de Persoal'!N25*SUM('Taboa Dat. '!$O$5:$O$7))))</f>
        <v>#N/A</v>
      </c>
      <c r="Q25" s="37"/>
      <c r="R25" s="37" t="e">
        <f t="shared" si="0"/>
        <v>#N/A</v>
      </c>
    </row>
    <row r="26" spans="1:19" ht="15" customHeight="1">
      <c r="A26" s="159"/>
      <c r="B26" s="215"/>
      <c r="C26" s="25"/>
      <c r="D26" s="25"/>
      <c r="E26" s="212"/>
      <c r="F26" s="213"/>
      <c r="G26" s="213"/>
      <c r="H26" s="37" t="e">
        <f>+VLOOKUP(B26,'Taboa Dat. '!$A$4:$C$41,3)*12*G26*F26</f>
        <v>#N/A</v>
      </c>
      <c r="I26" s="163"/>
      <c r="J26" s="37">
        <f>IF(I26="",0,+VLOOKUP(I26,'Taboa Dat. '!$H$13:$J$17,3)*12*F26*G26)</f>
        <v>0</v>
      </c>
      <c r="K26" s="37">
        <f t="shared" si="1"/>
        <v>0</v>
      </c>
      <c r="L26" s="37" t="e">
        <f>(+VLOOKUP(B26,'Taboa Dat. '!$A$4:D$41,4)*12*F26*G26)*2</f>
        <v>#N/A</v>
      </c>
      <c r="M26" s="37" t="e">
        <f t="shared" si="2"/>
        <v>#N/A</v>
      </c>
      <c r="N26" s="37" t="e">
        <f t="shared" si="3"/>
        <v>#N/A</v>
      </c>
      <c r="O26" s="214"/>
      <c r="P26" s="37" t="e">
        <f>+IF(AND(OR(D26='Taboa Dat. '!$J$4,D26='Taboa Dat. '!$K$4,D26='Taboa Dat. '!$L$4,D26='Taboa Dat. '!$M$4,D26='Taboa Dat. '!$N$4),'Gastos de Persoal'!O26=""),'Gastos de Persoal'!N26*SUM('Taboa Dat. '!$J$5:$J$7),IF(AND(OR(D26='Taboa Dat. '!$J$4,'Taboa Dat. '!$K$4,'Taboa Dat. '!$L$4,'Taboa Dat. '!$M$4,'Taboa Dat. '!$N$4),'Gastos de Persoal'!O26="a"),'Gastos de Persoal'!N26*('Taboa Dat. '!$J$5+'Taboa Dat. '!$J$6+'Taboa Dat. '!$J$8),IF(AND(OR(D26='Taboa Dat. '!$J$4,'Taboa Dat. '!$K$4,'Taboa Dat. '!$L$4,'Taboa Dat. '!$M$4,'Taboa Dat. '!$N$4),'Gastos de Persoal'!O26="g"),'Gastos de Persoal'!N26*('Taboa Dat. '!$J$5+'Taboa Dat. '!$J$6+'Taboa Dat. '!$J$9),'Gastos de Persoal'!N26*SUM('Taboa Dat. '!$O$5:$O$7))))</f>
        <v>#N/A</v>
      </c>
      <c r="Q26" s="37"/>
      <c r="R26" s="37" t="e">
        <f t="shared" si="0"/>
        <v>#N/A</v>
      </c>
    </row>
    <row r="27" spans="1:19" ht="15" customHeight="1">
      <c r="A27" s="159"/>
      <c r="B27" s="215"/>
      <c r="C27" s="25"/>
      <c r="D27" s="25"/>
      <c r="E27" s="212"/>
      <c r="F27" s="213"/>
      <c r="G27" s="213"/>
      <c r="H27" s="37" t="e">
        <f>+VLOOKUP(B27,'Taboa Dat. '!$A$4:$C$41,3)*12*G27*F27-12250.43</f>
        <v>#N/A</v>
      </c>
      <c r="I27" s="163"/>
      <c r="J27" s="37">
        <f>IF(I27="",0,+VLOOKUP(I27,'Taboa Dat. '!$H$13:$J$17,3)*12*F27*G27)</f>
        <v>0</v>
      </c>
      <c r="K27" s="37">
        <f t="shared" si="1"/>
        <v>0</v>
      </c>
      <c r="L27" s="37" t="e">
        <f>(+VLOOKUP(B27,'Taboa Dat. '!$A$4:D$41,4)*12*F27*G27)*2-906.39</f>
        <v>#N/A</v>
      </c>
      <c r="M27" s="37" t="e">
        <f t="shared" si="2"/>
        <v>#N/A</v>
      </c>
      <c r="N27" s="37" t="e">
        <f t="shared" si="3"/>
        <v>#N/A</v>
      </c>
      <c r="O27" s="214"/>
      <c r="P27" s="37" t="e">
        <f>+IF(AND(OR(D27='Taboa Dat. '!$J$4,D27='Taboa Dat. '!$K$4,D27='Taboa Dat. '!$L$4,D27='Taboa Dat. '!$M$4,D27='Taboa Dat. '!$N$4),'Gastos de Persoal'!O27=""),'Gastos de Persoal'!N27*SUM('Taboa Dat. '!$J$5:$J$7),IF(AND(OR(D27='Taboa Dat. '!$J$4,'Taboa Dat. '!$K$4,'Taboa Dat. '!$L$4,'Taboa Dat. '!$M$4,'Taboa Dat. '!$N$4),'Gastos de Persoal'!O27="a"),'Gastos de Persoal'!N27*('Taboa Dat. '!$J$5+'Taboa Dat. '!$J$6+'Taboa Dat. '!$J$8),IF(AND(OR(D27='Taboa Dat. '!$J$4,'Taboa Dat. '!$K$4,'Taboa Dat. '!$L$4,'Taboa Dat. '!$M$4,'Taboa Dat. '!$N$4),'Gastos de Persoal'!O27="g"),'Gastos de Persoal'!N27*('Taboa Dat. '!$J$5+'Taboa Dat. '!$J$6+'Taboa Dat. '!$J$9),'Gastos de Persoal'!N27*SUM('Taboa Dat. '!$O$5:$O$7))))+4553.26</f>
        <v>#N/A</v>
      </c>
      <c r="Q27" s="37"/>
      <c r="R27" s="37" t="e">
        <f>+P27+N27-Q27</f>
        <v>#N/A</v>
      </c>
      <c r="S27" s="311"/>
    </row>
    <row r="28" spans="1:19" ht="15" customHeight="1">
      <c r="A28" s="159"/>
      <c r="B28" s="215"/>
      <c r="C28" s="25"/>
      <c r="D28" s="25"/>
      <c r="E28" s="212"/>
      <c r="F28" s="213"/>
      <c r="G28" s="213"/>
      <c r="H28" s="37" t="e">
        <f>(+VLOOKUP(B28,'Taboa Dat. '!$A$4:$C$41,3))*12*G28*F28</f>
        <v>#N/A</v>
      </c>
      <c r="I28" s="163"/>
      <c r="J28" s="37">
        <f>IF(I28="",0,+VLOOKUP(I28,'Taboa Dat. '!$H$13:$J$17,3)*12*F28*G28)</f>
        <v>0</v>
      </c>
      <c r="K28" s="37">
        <f t="shared" si="1"/>
        <v>0</v>
      </c>
      <c r="L28" s="37" t="e">
        <f>((+VLOOKUP(B28,'Taboa Dat. '!$A$4:D$41,4))*12*F28*G28)*2</f>
        <v>#N/A</v>
      </c>
      <c r="M28" s="37" t="e">
        <f t="shared" si="2"/>
        <v>#N/A</v>
      </c>
      <c r="N28" s="37" t="e">
        <f t="shared" si="3"/>
        <v>#N/A</v>
      </c>
      <c r="O28" s="214"/>
      <c r="P28" s="37" t="e">
        <f>+IF(AND(OR(D28='Taboa Dat. '!$J$4,D28='Taboa Dat. '!$K$4,D28='Taboa Dat. '!$L$4,D28='Taboa Dat. '!$M$4,D28='Taboa Dat. '!$N$4),'Gastos de Persoal'!O28=""),'Gastos de Persoal'!N28*SUM('Taboa Dat. '!$J$5:$J$7),IF(AND(OR(D28='Taboa Dat. '!$J$4,'Taboa Dat. '!$K$4,'Taboa Dat. '!$L$4,'Taboa Dat. '!$M$4,'Taboa Dat. '!$N$4),'Gastos de Persoal'!O28="a"),'Gastos de Persoal'!N28*('Taboa Dat. '!$J$5+'Taboa Dat. '!$J$6+'Taboa Dat. '!$J$8),IF(AND(OR(D28='Taboa Dat. '!$J$4,'Taboa Dat. '!$K$4,'Taboa Dat. '!$L$4,'Taboa Dat. '!$M$4,'Taboa Dat. '!$N$4),'Gastos de Persoal'!O28="g"),'Gastos de Persoal'!N28*('Taboa Dat. '!$J$5+'Taboa Dat. '!$J$6+'Taboa Dat. '!$J$9),'Gastos de Persoal'!N28*SUM('Taboa Dat. '!$O$5:$O$7))))</f>
        <v>#N/A</v>
      </c>
      <c r="Q28" s="37"/>
      <c r="R28" s="37" t="e">
        <f>+P28+N28-Q28</f>
        <v>#N/A</v>
      </c>
      <c r="S28" s="313"/>
    </row>
    <row r="29" spans="1:19" ht="15" customHeight="1">
      <c r="A29" s="159"/>
      <c r="B29" s="215"/>
      <c r="C29" s="25"/>
      <c r="D29" s="25"/>
      <c r="E29" s="212"/>
      <c r="F29" s="213"/>
      <c r="G29" s="213"/>
      <c r="H29" s="37" t="e">
        <f>(+VLOOKUP(B29,'Taboa Dat. '!$A$4:$C$41,3))*12*G29*F29</f>
        <v>#N/A</v>
      </c>
      <c r="I29" s="163"/>
      <c r="J29" s="37">
        <f>IF(I29="",0,+VLOOKUP(I29,'Taboa Dat. '!$H$13:$J$17,3)*12*F29*G29)</f>
        <v>0</v>
      </c>
      <c r="K29" s="37">
        <f t="shared" si="1"/>
        <v>0</v>
      </c>
      <c r="L29" s="37" t="e">
        <f>((+VLOOKUP(B29,'Taboa Dat. '!$A$4:D$41,4))*12*F29*G29)*2</f>
        <v>#N/A</v>
      </c>
      <c r="M29" s="37" t="e">
        <f t="shared" si="2"/>
        <v>#N/A</v>
      </c>
      <c r="N29" s="37" t="e">
        <f t="shared" si="3"/>
        <v>#N/A</v>
      </c>
      <c r="O29" s="214"/>
      <c r="P29" s="37" t="e">
        <f>+IF(AND(OR(D29='Taboa Dat. '!$J$4,D29='Taboa Dat. '!$K$4,D29='Taboa Dat. '!$L$4,D29='Taboa Dat. '!$M$4,D29='Taboa Dat. '!$N$4),'Gastos de Persoal'!O29=""),'Gastos de Persoal'!N29*SUM('Taboa Dat. '!$J$5:$J$7),IF(AND(OR(D29='Taboa Dat. '!$J$4,'Taboa Dat. '!$K$4,'Taboa Dat. '!$L$4,'Taboa Dat. '!$M$4,'Taboa Dat. '!$N$4),'Gastos de Persoal'!O29="a"),'Gastos de Persoal'!N29*('Taboa Dat. '!$J$5+'Taboa Dat. '!$J$6+'Taboa Dat. '!$J$8),IF(AND(OR(D29='Taboa Dat. '!$J$4,'Taboa Dat. '!$K$4,'Taboa Dat. '!$L$4,'Taboa Dat. '!$M$4,'Taboa Dat. '!$N$4),'Gastos de Persoal'!O29="g"),'Gastos de Persoal'!N29*('Taboa Dat. '!$J$5+'Taboa Dat. '!$J$6+'Taboa Dat. '!$J$9),'Gastos de Persoal'!N29*SUM('Taboa Dat. '!$O$5:$O$7))))</f>
        <v>#N/A</v>
      </c>
      <c r="Q29" s="37"/>
      <c r="R29" s="37" t="e">
        <f>+P29+N29-Q29</f>
        <v>#N/A</v>
      </c>
      <c r="S29" s="313"/>
    </row>
    <row r="30" spans="1:19" ht="15" customHeight="1">
      <c r="A30" s="159"/>
      <c r="B30" s="215"/>
      <c r="C30" s="25"/>
      <c r="D30" s="25"/>
      <c r="E30" s="212"/>
      <c r="F30" s="213"/>
      <c r="G30" s="213"/>
      <c r="H30" s="37" t="e">
        <f>+VLOOKUP(B30,'Taboa Dat. '!$A$4:$C$41,3)*12*G30*F30</f>
        <v>#N/A</v>
      </c>
      <c r="I30" s="163"/>
      <c r="J30" s="37">
        <f>IF(I30="",0,+VLOOKUP(I30,'Taboa Dat. '!$H$13:$J$17,3)*12*F30*G30)</f>
        <v>0</v>
      </c>
      <c r="K30" s="37">
        <f t="shared" si="1"/>
        <v>0</v>
      </c>
      <c r="L30" s="37" t="e">
        <f>(+VLOOKUP(B30,'Taboa Dat. '!$A$4:D$41,4)*12*F30*G30)*2</f>
        <v>#N/A</v>
      </c>
      <c r="M30" s="37" t="e">
        <f t="shared" si="2"/>
        <v>#N/A</v>
      </c>
      <c r="N30" s="37" t="e">
        <f t="shared" si="3"/>
        <v>#N/A</v>
      </c>
      <c r="O30" s="214"/>
      <c r="P30" s="37" t="e">
        <f>+IF(AND(OR(D30='Taboa Dat. '!$J$4,D30='Taboa Dat. '!$K$4,D30='Taboa Dat. '!$L$4,D30='Taboa Dat. '!$M$4,D30='Taboa Dat. '!$N$4),'Gastos de Persoal'!O30=""),'Gastos de Persoal'!N30*SUM('Taboa Dat. '!$J$5:$J$7),IF(AND(OR(D30='Taboa Dat. '!$J$4,'Taboa Dat. '!$K$4,'Taboa Dat. '!$L$4,'Taboa Dat. '!$M$4,'Taboa Dat. '!$N$4),'Gastos de Persoal'!O30="a"),'Gastos de Persoal'!N30*('Taboa Dat. '!$J$5+'Taboa Dat. '!$J$6+'Taboa Dat. '!$J$8),IF(AND(OR(D30='Taboa Dat. '!$J$4,'Taboa Dat. '!$K$4,'Taboa Dat. '!$L$4,'Taboa Dat. '!$M$4,'Taboa Dat. '!$N$4),'Gastos de Persoal'!O30="g"),'Gastos de Persoal'!N30*('Taboa Dat. '!$J$5+'Taboa Dat. '!$J$6+'Taboa Dat. '!$J$9),'Gastos de Persoal'!N30*SUM('Taboa Dat. '!$O$5:$O$7))))</f>
        <v>#N/A</v>
      </c>
      <c r="Q30" s="37"/>
      <c r="R30" s="37" t="e">
        <f t="shared" si="0"/>
        <v>#N/A</v>
      </c>
      <c r="S30" s="312"/>
    </row>
    <row r="31" spans="1:19" ht="15" customHeight="1">
      <c r="A31" s="159"/>
      <c r="B31" s="215"/>
      <c r="C31" s="25"/>
      <c r="D31" s="25"/>
      <c r="E31" s="212"/>
      <c r="F31" s="213"/>
      <c r="G31" s="221"/>
      <c r="H31" s="37" t="e">
        <f>+VLOOKUP(B31,'Taboa Dat. '!$A$4:$C$41,3)*12*G31*F31</f>
        <v>#N/A</v>
      </c>
      <c r="I31" s="163"/>
      <c r="J31" s="37">
        <f>IF(I31="",0,+VLOOKUP(I31,'Taboa Dat. '!$H$13:$J$17,3)*12*F31*G31)</f>
        <v>0</v>
      </c>
      <c r="K31" s="37">
        <f t="shared" si="1"/>
        <v>0</v>
      </c>
      <c r="L31" s="37" t="e">
        <f>(+VLOOKUP(B31,'Taboa Dat. '!$A$4:D$41,4)*12*F31*G31)*2</f>
        <v>#N/A</v>
      </c>
      <c r="M31" s="37" t="e">
        <f t="shared" ref="M31" si="4">(+H31+K31+J31)*2/12</f>
        <v>#N/A</v>
      </c>
      <c r="N31" s="37" t="e">
        <f t="shared" ref="N31" si="5">+H31+J31+K31+M31+L31</f>
        <v>#N/A</v>
      </c>
      <c r="O31" s="214"/>
      <c r="P31" s="37" t="e">
        <f>+IF(AND(OR(D31='Taboa Dat. '!$J$4,D31='Taboa Dat. '!$K$4,D31='Taboa Dat. '!$L$4,D31='Taboa Dat. '!$M$4,D31='Taboa Dat. '!$N$4),'Gastos de Persoal'!O31=""),'Gastos de Persoal'!N31*SUM('Taboa Dat. '!$J$5:$J$7),IF(AND(OR(D31='Taboa Dat. '!$J$4,'Taboa Dat. '!$K$4,'Taboa Dat. '!$L$4,'Taboa Dat. '!$M$4,'Taboa Dat. '!$N$4),'Gastos de Persoal'!O31="a"),'Gastos de Persoal'!N31*('Taboa Dat. '!$J$5+'Taboa Dat. '!$J$6+'Taboa Dat. '!$J$8),IF(AND(OR(D31='Taboa Dat. '!$J$4,'Taboa Dat. '!$K$4,'Taboa Dat. '!$L$4,'Taboa Dat. '!$M$4,'Taboa Dat. '!$N$4),'Gastos de Persoal'!O31="g"),'Gastos de Persoal'!N31*('Taboa Dat. '!$J$5+'Taboa Dat. '!$J$6+'Taboa Dat. '!$J$9),'Gastos de Persoal'!N31*SUM('Taboa Dat. '!$O$5:$O$7))))</f>
        <v>#N/A</v>
      </c>
      <c r="Q31" s="37"/>
      <c r="R31" s="37" t="e">
        <f t="shared" ref="R31" si="6">+P31+N31-Q31</f>
        <v>#N/A</v>
      </c>
    </row>
    <row r="32" spans="1:19" ht="15" customHeight="1">
      <c r="A32" s="159"/>
      <c r="B32" s="215"/>
      <c r="C32" s="25"/>
      <c r="D32" s="25"/>
      <c r="E32" s="212"/>
      <c r="F32" s="213"/>
      <c r="G32" s="213"/>
      <c r="H32" s="37" t="e">
        <f>(+VLOOKUP(B32,'Taboa Dat. '!$A$4:$C$41,3))*12*G32*F32</f>
        <v>#N/A</v>
      </c>
      <c r="I32" s="163"/>
      <c r="J32" s="37">
        <f>IF(I32="",0,+VLOOKUP(I32,'Taboa Dat. '!$H$13:$J$17,3)*12*F32*G32)</f>
        <v>0</v>
      </c>
      <c r="K32" s="37">
        <f t="shared" si="1"/>
        <v>0</v>
      </c>
      <c r="L32" s="37" t="e">
        <f>(+VLOOKUP(B32,'Taboa Dat. '!$A$4:D$41,4)+48.86)*12*F32*G32</f>
        <v>#N/A</v>
      </c>
      <c r="M32" s="37" t="e">
        <f t="shared" ref="M32" si="7">(+H32+K32+J32)*2/12</f>
        <v>#N/A</v>
      </c>
      <c r="N32" s="37" t="e">
        <f t="shared" ref="N32" si="8">+H32+J32+K32+M32+L32</f>
        <v>#N/A</v>
      </c>
      <c r="O32" s="214"/>
      <c r="P32" s="37" t="e">
        <f>+IF(AND(OR(D32='Taboa Dat. '!$J$4,D32='Taboa Dat. '!$K$4,D32='Taboa Dat. '!$L$4,D32='Taboa Dat. '!$M$4,D32='Taboa Dat. '!$N$4),'Gastos de Persoal'!O32=""),'Gastos de Persoal'!N32*SUM('Taboa Dat. '!$J$5:$J$7),IF(AND(OR(D32='Taboa Dat. '!$J$4,'Taboa Dat. '!$K$4,'Taboa Dat. '!$L$4,'Taboa Dat. '!$M$4,'Taboa Dat. '!$N$4),'Gastos de Persoal'!O32="a"),'Gastos de Persoal'!N32*('Taboa Dat. '!$J$5+'Taboa Dat. '!$J$6+'Taboa Dat. '!$J$8),IF(AND(OR(D32='Taboa Dat. '!$J$4,'Taboa Dat. '!$K$4,'Taboa Dat. '!$L$4,'Taboa Dat. '!$M$4,'Taboa Dat. '!$N$4),'Gastos de Persoal'!O32="g"),'Gastos de Persoal'!N32*('Taboa Dat. '!$J$5+'Taboa Dat. '!$J$6+'Taboa Dat. '!$J$9),'Gastos de Persoal'!N32*SUM('Taboa Dat. '!$O$5:$O$7))))</f>
        <v>#N/A</v>
      </c>
      <c r="Q32" s="37"/>
      <c r="R32" s="37" t="e">
        <f t="shared" ref="R32" si="9">+P32+N32-Q32</f>
        <v>#N/A</v>
      </c>
      <c r="S32" s="313"/>
    </row>
    <row r="33" spans="1:22" ht="15" customHeight="1">
      <c r="A33" s="159"/>
      <c r="B33" s="215"/>
      <c r="C33" s="25"/>
      <c r="D33" s="25"/>
      <c r="E33" s="212"/>
      <c r="F33" s="213"/>
      <c r="G33" s="221"/>
      <c r="H33" s="37" t="e">
        <f>(+VLOOKUP(B33,'Taboa Dat. '!$A$4:$C$41,3))*12*G33*F33</f>
        <v>#N/A</v>
      </c>
      <c r="I33" s="163"/>
      <c r="J33" s="37">
        <f>IF(I33="",0,+VLOOKUP(I33,'Taboa Dat. '!$H$13:$J$17,3)*12*F33*G33)</f>
        <v>0</v>
      </c>
      <c r="K33" s="37">
        <f t="shared" si="1"/>
        <v>0</v>
      </c>
      <c r="L33" s="37" t="e">
        <f>(+VLOOKUP(B33,'Taboa Dat. '!$A$4:D$41,4)+48.86)*12*F33*G33</f>
        <v>#N/A</v>
      </c>
      <c r="M33" s="37" t="e">
        <f t="shared" ref="M33" si="10">(+H33+K33+J33)*2/12</f>
        <v>#N/A</v>
      </c>
      <c r="N33" s="37" t="e">
        <f t="shared" ref="N33" si="11">+H33+J33+K33+M33+L33</f>
        <v>#N/A</v>
      </c>
      <c r="O33" s="214"/>
      <c r="P33" s="37" t="e">
        <f>+IF(AND(OR(D33='Taboa Dat. '!$J$4,D33='Taboa Dat. '!$K$4,D33='Taboa Dat. '!$L$4,D33='Taboa Dat. '!$M$4,D33='Taboa Dat. '!$N$4),'Gastos de Persoal'!O33=""),'Gastos de Persoal'!N33*SUM('Taboa Dat. '!$J$5:$J$7),IF(AND(OR(D33='Taboa Dat. '!$J$4,'Taboa Dat. '!$K$4,'Taboa Dat. '!$L$4,'Taboa Dat. '!$M$4,'Taboa Dat. '!$N$4),'Gastos de Persoal'!O33="a"),'Gastos de Persoal'!N33*('Taboa Dat. '!$J$5+'Taboa Dat. '!$J$6+'Taboa Dat. '!$J$8),IF(AND(OR(D33='Taboa Dat. '!$J$4,'Taboa Dat. '!$K$4,'Taboa Dat. '!$L$4,'Taboa Dat. '!$M$4,'Taboa Dat. '!$N$4),'Gastos de Persoal'!O33="g"),'Gastos de Persoal'!N33*('Taboa Dat. '!$J$5+'Taboa Dat. '!$J$6+'Taboa Dat. '!$J$9),'Gastos de Persoal'!N33*SUM('Taboa Dat. '!$O$5:$O$7))))</f>
        <v>#N/A</v>
      </c>
      <c r="Q33" s="37"/>
      <c r="R33" s="37" t="e">
        <f t="shared" ref="R33" si="12">+P33+N33-Q33</f>
        <v>#N/A</v>
      </c>
      <c r="S33" s="313"/>
      <c r="V33" s="138"/>
    </row>
    <row r="34" spans="1:22" ht="15" customHeight="1">
      <c r="A34" s="159"/>
      <c r="B34" s="215"/>
      <c r="C34" s="25"/>
      <c r="D34" s="25"/>
      <c r="E34" s="212"/>
      <c r="F34" s="213"/>
      <c r="G34" s="221"/>
      <c r="H34" s="37" t="e">
        <f>(+VLOOKUP(B34,'Taboa Dat. '!$A$4:$C$41,3))*12*G34*F34</f>
        <v>#N/A</v>
      </c>
      <c r="I34" s="163"/>
      <c r="J34" s="37">
        <f>IF(I34="",0,+VLOOKUP(I34,'Taboa Dat. '!$H$13:$J$17,3)*12*F34*G34)</f>
        <v>0</v>
      </c>
      <c r="K34" s="37">
        <f t="shared" si="1"/>
        <v>0</v>
      </c>
      <c r="L34" s="37" t="e">
        <f>(+VLOOKUP(B34,'Taboa Dat. '!$A$4:D$41,4)+48.86)*12*F34*G34</f>
        <v>#N/A</v>
      </c>
      <c r="M34" s="37" t="e">
        <f t="shared" ref="M34" si="13">(+H34+K34+J34)*2/12</f>
        <v>#N/A</v>
      </c>
      <c r="N34" s="37" t="e">
        <f t="shared" ref="N34" si="14">+H34+J34+K34+M34+L34</f>
        <v>#N/A</v>
      </c>
      <c r="O34" s="214"/>
      <c r="P34" s="37" t="e">
        <f>+IF(AND(OR(D34='Taboa Dat. '!$J$4,D34='Taboa Dat. '!$K$4,D34='Taboa Dat. '!$L$4,D34='Taboa Dat. '!$M$4,D34='Taboa Dat. '!$N$4),'Gastos de Persoal'!O34=""),'Gastos de Persoal'!N34*SUM('Taboa Dat. '!$J$5:$J$7),IF(AND(OR(D34='Taboa Dat. '!$J$4,'Taboa Dat. '!$K$4,'Taboa Dat. '!$L$4,'Taboa Dat. '!$M$4,'Taboa Dat. '!$N$4),'Gastos de Persoal'!O34="a"),'Gastos de Persoal'!N34*('Taboa Dat. '!$J$5+'Taboa Dat. '!$J$6+'Taboa Dat. '!$J$8),IF(AND(OR(D34='Taboa Dat. '!$J$4,'Taboa Dat. '!$K$4,'Taboa Dat. '!$L$4,'Taboa Dat. '!$M$4,'Taboa Dat. '!$N$4),'Gastos de Persoal'!O34="g"),'Gastos de Persoal'!N34*('Taboa Dat. '!$J$5+'Taboa Dat. '!$J$6+'Taboa Dat. '!$J$9),'Gastos de Persoal'!N34*SUM('Taboa Dat. '!$O$5:$O$7))))</f>
        <v>#N/A</v>
      </c>
      <c r="Q34" s="37"/>
      <c r="R34" s="37" t="e">
        <f t="shared" ref="R34" si="15">+P34+N34-Q34</f>
        <v>#N/A</v>
      </c>
      <c r="S34" s="313"/>
      <c r="V34" s="138"/>
    </row>
    <row r="35" spans="1:22" ht="15" customHeight="1">
      <c r="A35" s="159"/>
      <c r="B35" s="215"/>
      <c r="C35" s="25"/>
      <c r="D35" s="25"/>
      <c r="E35" s="212"/>
      <c r="F35" s="213"/>
      <c r="G35" s="221"/>
      <c r="H35" s="37" t="e">
        <f>(+VLOOKUP(B35,'Taboa Dat. '!$A$4:$C$41,3))*12*G35*F35</f>
        <v>#N/A</v>
      </c>
      <c r="I35" s="163"/>
      <c r="J35" s="37">
        <f>IF(I35="",0,+VLOOKUP(I35,'Taboa Dat. '!$H$13:$J$17,3)*12*F35*G35)</f>
        <v>0</v>
      </c>
      <c r="K35" s="37">
        <f t="shared" si="1"/>
        <v>0</v>
      </c>
      <c r="L35" s="37" t="e">
        <f>(+VLOOKUP(B35,'Taboa Dat. '!$A$4:D$41,4)+48.86)*12*F35*G35</f>
        <v>#N/A</v>
      </c>
      <c r="M35" s="37" t="e">
        <f t="shared" ref="M35:M36" si="16">(+H35+K35+J35)*2/12</f>
        <v>#N/A</v>
      </c>
      <c r="N35" s="37" t="e">
        <f t="shared" ref="N35:N36" si="17">+H35+J35+K35+M35+L35</f>
        <v>#N/A</v>
      </c>
      <c r="O35" s="214"/>
      <c r="P35" s="37" t="e">
        <f>+IF(AND(OR(D35='Taboa Dat. '!$J$4,D35='Taboa Dat. '!$K$4,D35='Taboa Dat. '!$L$4,D35='Taboa Dat. '!$M$4,D35='Taboa Dat. '!$N$4),'Gastos de Persoal'!O35=""),'Gastos de Persoal'!N35*SUM('Taboa Dat. '!$J$5:$J$7),IF(AND(OR(D35='Taboa Dat. '!$J$4,'Taboa Dat. '!$K$4,'Taboa Dat. '!$L$4,'Taboa Dat. '!$M$4,'Taboa Dat. '!$N$4),'Gastos de Persoal'!O35="a"),'Gastos de Persoal'!N35*('Taboa Dat. '!$J$5+'Taboa Dat. '!$J$6+'Taboa Dat. '!$J$8),IF(AND(OR(D35='Taboa Dat. '!$J$4,'Taboa Dat. '!$K$4,'Taboa Dat. '!$L$4,'Taboa Dat. '!$M$4,'Taboa Dat. '!$N$4),'Gastos de Persoal'!O35="g"),'Gastos de Persoal'!N35*('Taboa Dat. '!$J$5+'Taboa Dat. '!$J$6+'Taboa Dat. '!$J$9),'Gastos de Persoal'!N35*SUM('Taboa Dat. '!$O$5:$O$7))))</f>
        <v>#N/A</v>
      </c>
      <c r="Q35" s="37"/>
      <c r="R35" s="37" t="e">
        <f t="shared" ref="R35:R36" si="18">+P35+N35-Q35</f>
        <v>#N/A</v>
      </c>
      <c r="S35" s="313"/>
      <c r="V35" s="138"/>
    </row>
    <row r="36" spans="1:22" ht="15" customHeight="1">
      <c r="A36" s="159"/>
      <c r="B36" s="215"/>
      <c r="C36" s="25"/>
      <c r="D36" s="25"/>
      <c r="E36" s="212"/>
      <c r="F36" s="213"/>
      <c r="G36" s="221"/>
      <c r="H36" s="37" t="e">
        <f>(+VLOOKUP(B36,'Taboa Dat. '!$A$4:$C$41,3))*12*G36*F36</f>
        <v>#N/A</v>
      </c>
      <c r="I36" s="163"/>
      <c r="J36" s="37">
        <f>IF(I36="",0,+VLOOKUP(I36,'Taboa Dat. '!$H$13:$J$17,3)*12*F36*G36)</f>
        <v>0</v>
      </c>
      <c r="K36" s="37">
        <f t="shared" si="1"/>
        <v>0</v>
      </c>
      <c r="L36" s="37" t="e">
        <f>(+VLOOKUP(B36,'Taboa Dat. '!$A$4:D$41,4)+48.86)*12*F36*G36</f>
        <v>#N/A</v>
      </c>
      <c r="M36" s="37" t="e">
        <f t="shared" si="16"/>
        <v>#N/A</v>
      </c>
      <c r="N36" s="37" t="e">
        <f t="shared" si="17"/>
        <v>#N/A</v>
      </c>
      <c r="O36" s="214"/>
      <c r="P36" s="37" t="e">
        <f>+IF(AND(OR(D36='Taboa Dat. '!$J$4,D36='Taboa Dat. '!$K$4,D36='Taboa Dat. '!$L$4,D36='Taboa Dat. '!$M$4,D36='Taboa Dat. '!$N$4),'Gastos de Persoal'!O36=""),'Gastos de Persoal'!N36*SUM('Taboa Dat. '!$J$5:$J$7),IF(AND(OR(D36='Taboa Dat. '!$J$4,'Taboa Dat. '!$K$4,'Taboa Dat. '!$L$4,'Taboa Dat. '!$M$4,'Taboa Dat. '!$N$4),'Gastos de Persoal'!O36="a"),'Gastos de Persoal'!N36*('Taboa Dat. '!$J$5+'Taboa Dat. '!$J$6+'Taboa Dat. '!$J$8),IF(AND(OR(D36='Taboa Dat. '!$J$4,'Taboa Dat. '!$K$4,'Taboa Dat. '!$L$4,'Taboa Dat. '!$M$4,'Taboa Dat. '!$N$4),'Gastos de Persoal'!O36="g"),'Gastos de Persoal'!N36*('Taboa Dat. '!$J$5+'Taboa Dat. '!$J$6+'Taboa Dat. '!$J$9),'Gastos de Persoal'!N36*SUM('Taboa Dat. '!$O$5:$O$7))))</f>
        <v>#N/A</v>
      </c>
      <c r="Q36" s="37"/>
      <c r="R36" s="37" t="e">
        <f t="shared" si="18"/>
        <v>#N/A</v>
      </c>
      <c r="S36" s="313"/>
      <c r="V36" s="138"/>
    </row>
    <row r="37" spans="1:22" ht="15" customHeight="1">
      <c r="A37" s="159"/>
      <c r="B37" s="215"/>
      <c r="C37" s="25"/>
      <c r="D37" s="25"/>
      <c r="E37" s="212"/>
      <c r="F37" s="213"/>
      <c r="G37" s="221"/>
      <c r="H37" s="37" t="e">
        <f>(+VLOOKUP(B37,'Taboa Dat. '!$A$4:$C$41,3))*12*G37*F37</f>
        <v>#N/A</v>
      </c>
      <c r="I37" s="163"/>
      <c r="J37" s="37">
        <f>IF(I37="",0,+VLOOKUP(I37,'Taboa Dat. '!$H$13:$J$17,3)*12*F37*G37)</f>
        <v>0</v>
      </c>
      <c r="K37" s="37">
        <f t="shared" si="1"/>
        <v>0</v>
      </c>
      <c r="L37" s="37" t="e">
        <f>(+VLOOKUP(B37,'Taboa Dat. '!$A$4:D$41,4)+48.86)*12*F37*G37</f>
        <v>#N/A</v>
      </c>
      <c r="M37" s="37" t="e">
        <f t="shared" ref="M37" si="19">(+H37+K37+J37)*2/12</f>
        <v>#N/A</v>
      </c>
      <c r="N37" s="37" t="e">
        <f t="shared" ref="N37" si="20">+H37+J37+K37+M37+L37</f>
        <v>#N/A</v>
      </c>
      <c r="O37" s="214"/>
      <c r="P37" s="37" t="e">
        <f>+IF(AND(OR(D37='Taboa Dat. '!$J$4,D37='Taboa Dat. '!$K$4,D37='Taboa Dat. '!$L$4,D37='Taboa Dat. '!$M$4,D37='Taboa Dat. '!$N$4),'Gastos de Persoal'!O37=""),'Gastos de Persoal'!N37*SUM('Taboa Dat. '!$J$5:$J$7),IF(AND(OR(D37='Taboa Dat. '!$J$4,'Taboa Dat. '!$K$4,'Taboa Dat. '!$L$4,'Taboa Dat. '!$M$4,'Taboa Dat. '!$N$4),'Gastos de Persoal'!O37="a"),'Gastos de Persoal'!N37*('Taboa Dat. '!$J$5+'Taboa Dat. '!$J$6+'Taboa Dat. '!$J$8),IF(AND(OR(D37='Taboa Dat. '!$J$4,'Taboa Dat. '!$K$4,'Taboa Dat. '!$L$4,'Taboa Dat. '!$M$4,'Taboa Dat. '!$N$4),'Gastos de Persoal'!O37="g"),'Gastos de Persoal'!N37*('Taboa Dat. '!$J$5+'Taboa Dat. '!$J$6+'Taboa Dat. '!$J$9),'Gastos de Persoal'!N37*SUM('Taboa Dat. '!$O$5:$O$7))))</f>
        <v>#N/A</v>
      </c>
      <c r="Q37" s="37"/>
      <c r="R37" s="37" t="e">
        <f t="shared" ref="R37" si="21">+P37+N37-Q37</f>
        <v>#N/A</v>
      </c>
      <c r="S37" s="313"/>
      <c r="V37" s="138"/>
    </row>
    <row r="38" spans="1:22" ht="15" customHeight="1">
      <c r="A38" s="159"/>
      <c r="B38" s="215"/>
      <c r="C38" s="25"/>
      <c r="D38" s="25"/>
      <c r="E38" s="212"/>
      <c r="F38" s="213"/>
      <c r="G38" s="221"/>
      <c r="H38" s="37" t="e">
        <f>+VLOOKUP(B38,'Taboa Dat. '!$A$4:$C$41,3)*12*G38*F38</f>
        <v>#N/A</v>
      </c>
      <c r="I38" s="163"/>
      <c r="J38" s="37">
        <f>IF(I38="",0,+VLOOKUP(I38,'Taboa Dat. '!$H$13:$J$17,3)*12*F38*G38)</f>
        <v>0</v>
      </c>
      <c r="K38" s="37">
        <f t="shared" si="1"/>
        <v>0</v>
      </c>
      <c r="L38" s="37" t="e">
        <f>(+VLOOKUP(B38,'Taboa Dat. '!$A$4:D$41,4)+48.86)*12*F38*G38</f>
        <v>#N/A</v>
      </c>
      <c r="M38" s="37" t="e">
        <f t="shared" ref="M38" si="22">(+H38+K38+J38)*2/12</f>
        <v>#N/A</v>
      </c>
      <c r="N38" s="37" t="e">
        <f t="shared" ref="N38" si="23">+H38+J38+K38+M38+L38</f>
        <v>#N/A</v>
      </c>
      <c r="O38" s="214"/>
      <c r="P38" s="37" t="e">
        <f>+IF(AND(OR(D38='Taboa Dat. '!$J$4,D38='Taboa Dat. '!$K$4,D38='Taboa Dat. '!$L$4,D38='Taboa Dat. '!$M$4,D38='Taboa Dat. '!$N$4),'Gastos de Persoal'!O38=""),'Gastos de Persoal'!N38*SUM('Taboa Dat. '!$J$5:$J$7),IF(AND(OR(D38='Taboa Dat. '!$J$4,'Taboa Dat. '!$K$4,'Taboa Dat. '!$L$4,'Taboa Dat. '!$M$4,'Taboa Dat. '!$N$4),'Gastos de Persoal'!O38="a"),'Gastos de Persoal'!N38*('Taboa Dat. '!$J$5+'Taboa Dat. '!$J$6+'Taboa Dat. '!$J$8),IF(AND(OR(D38='Taboa Dat. '!$J$4,'Taboa Dat. '!$K$4,'Taboa Dat. '!$L$4,'Taboa Dat. '!$M$4,'Taboa Dat. '!$N$4),'Gastos de Persoal'!O38="g"),'Gastos de Persoal'!N38*('Taboa Dat. '!$J$5+'Taboa Dat. '!$J$6+'Taboa Dat. '!$J$9),'Gastos de Persoal'!N38*SUM('Taboa Dat. '!$O$5:$O$7))))</f>
        <v>#N/A</v>
      </c>
      <c r="Q38" s="37"/>
      <c r="R38" s="37" t="e">
        <f t="shared" ref="R38" si="24">+P38+N38-Q38</f>
        <v>#N/A</v>
      </c>
      <c r="S38" s="313"/>
      <c r="V38" s="138"/>
    </row>
    <row r="39" spans="1:22" ht="15" customHeight="1">
      <c r="A39" s="249"/>
      <c r="B39" s="250"/>
      <c r="C39" s="251"/>
      <c r="D39" s="251"/>
      <c r="E39" s="252"/>
      <c r="F39" s="253"/>
      <c r="G39" s="254"/>
      <c r="H39" s="255" t="e">
        <f>+VLOOKUP(B39,'Taboa Dat. '!$A$4:$C$41,3)*11*G39*F39</f>
        <v>#N/A</v>
      </c>
      <c r="I39" s="267"/>
      <c r="J39" s="255">
        <f>IF(I39="",0,+VLOOKUP(I39,'Taboa Dat. '!$H$13:$J$17,3)*12*F39*G39)</f>
        <v>0</v>
      </c>
      <c r="K39" s="255">
        <f>0*12*F39*G39</f>
        <v>0</v>
      </c>
      <c r="L39" s="255">
        <v>0</v>
      </c>
      <c r="M39" s="255" t="e">
        <f t="shared" ref="M39:M41" si="25">(+H39+K39+J39)*2/12</f>
        <v>#N/A</v>
      </c>
      <c r="N39" s="255" t="e">
        <f>+H39+J39+K39+M39+L39</f>
        <v>#N/A</v>
      </c>
      <c r="O39" s="256"/>
      <c r="P39" s="255" t="e">
        <f>+IF(AND(OR(D39='Taboa Dat. '!$J$4,D39='Taboa Dat. '!$K$4,D39='Taboa Dat. '!$L$4,D39='Taboa Dat. '!$M$4,D39='Taboa Dat. '!$N$4),'Gastos de Persoal'!O39=""),'Gastos de Persoal'!N39*SUM('Taboa Dat. '!$J$5:$J$7),IF(AND(OR(D39='Taboa Dat. '!$J$4,'Taboa Dat. '!$K$4,'Taboa Dat. '!$L$4,'Taboa Dat. '!$M$4,'Taboa Dat. '!$N$4),'Gastos de Persoal'!O39="a"),'Gastos de Persoal'!N39*('Taboa Dat. '!$J$5+'Taboa Dat. '!$J$6+'Taboa Dat. '!$J$8),IF(AND(OR(D39='Taboa Dat. '!$J$4,'Taboa Dat. '!$K$4,'Taboa Dat. '!$L$4,'Taboa Dat. '!$M$4,'Taboa Dat. '!$N$4),'Gastos de Persoal'!O39="g"),'Gastos de Persoal'!N39*('Taboa Dat. '!$J$5+'Taboa Dat. '!$J$6+'Taboa Dat. '!$J$9),'Gastos de Persoal'!N39*SUM('Taboa Dat. '!$O$5:$O$7))))</f>
        <v>#N/A</v>
      </c>
      <c r="Q39" s="255"/>
      <c r="R39" s="255" t="e">
        <f>+P39+N39-Q39</f>
        <v>#N/A</v>
      </c>
      <c r="S39" s="313"/>
      <c r="T39" s="138"/>
    </row>
    <row r="40" spans="1:22" ht="15" customHeight="1">
      <c r="A40" s="249"/>
      <c r="B40" s="250"/>
      <c r="C40" s="251"/>
      <c r="D40" s="251"/>
      <c r="E40" s="252"/>
      <c r="F40" s="253"/>
      <c r="G40" s="254"/>
      <c r="H40" s="255" t="e">
        <f>+VLOOKUP(B40,'Taboa Dat. '!$A$4:$C$41,3)*11*G40*F40</f>
        <v>#N/A</v>
      </c>
      <c r="I40" s="267"/>
      <c r="J40" s="255">
        <f>IF(I40="",0,+VLOOKUP(I40,'Taboa Dat. '!$H$13:$J$17,3)*12*F40*G40)</f>
        <v>0</v>
      </c>
      <c r="K40" s="255">
        <f>0*12*F40*G40</f>
        <v>0</v>
      </c>
      <c r="L40" s="255">
        <v>0</v>
      </c>
      <c r="M40" s="255" t="e">
        <f t="shared" ref="M40" si="26">(+H40+K40+J40)*2/12</f>
        <v>#N/A</v>
      </c>
      <c r="N40" s="255" t="e">
        <f>+H40+J40+K40+M40+L40</f>
        <v>#N/A</v>
      </c>
      <c r="O40" s="256"/>
      <c r="P40" s="255" t="e">
        <f>+IF(AND(OR(D40='Taboa Dat. '!$J$4,D40='Taboa Dat. '!$K$4,D40='Taboa Dat. '!$L$4,D40='Taboa Dat. '!$M$4,D40='Taboa Dat. '!$N$4),'Gastos de Persoal'!O40=""),'Gastos de Persoal'!N40*SUM('Taboa Dat. '!$J$5:$J$7),IF(AND(OR(D40='Taboa Dat. '!$J$4,'Taboa Dat. '!$K$4,'Taboa Dat. '!$L$4,'Taboa Dat. '!$M$4,'Taboa Dat. '!$N$4),'Gastos de Persoal'!O40="a"),'Gastos de Persoal'!N40*('Taboa Dat. '!$J$5+'Taboa Dat. '!$J$6+'Taboa Dat. '!$J$8),IF(AND(OR(D40='Taboa Dat. '!$J$4,'Taboa Dat. '!$K$4,'Taboa Dat. '!$L$4,'Taboa Dat. '!$M$4,'Taboa Dat. '!$N$4),'Gastos de Persoal'!O40="g"),'Gastos de Persoal'!N40*('Taboa Dat. '!$J$5+'Taboa Dat. '!$J$6+'Taboa Dat. '!$J$9),'Gastos de Persoal'!N40*SUM('Taboa Dat. '!$O$5:$O$7))))</f>
        <v>#N/A</v>
      </c>
      <c r="Q40" s="255"/>
      <c r="R40" s="255" t="e">
        <f>+P40+N40-Q40</f>
        <v>#N/A</v>
      </c>
      <c r="S40" s="313"/>
      <c r="T40" s="138"/>
    </row>
    <row r="41" spans="1:22" ht="15" customHeight="1">
      <c r="A41" s="249"/>
      <c r="B41" s="250"/>
      <c r="C41" s="251"/>
      <c r="D41" s="251"/>
      <c r="E41" s="252"/>
      <c r="F41" s="253"/>
      <c r="G41" s="254"/>
      <c r="H41" s="255" t="e">
        <f>+VLOOKUP(B41,'Taboa Dat. '!$A$4:$C$41,3)*11*G41*F41</f>
        <v>#N/A</v>
      </c>
      <c r="I41" s="267"/>
      <c r="J41" s="255">
        <f>IF(I41="",0,+VLOOKUP(I41,'Taboa Dat. '!$H$13:$J$17,3)*12*F41*G41)</f>
        <v>0</v>
      </c>
      <c r="K41" s="255">
        <f>0*12*F41*G41</f>
        <v>0</v>
      </c>
      <c r="L41" s="255">
        <v>0</v>
      </c>
      <c r="M41" s="255" t="e">
        <f t="shared" si="25"/>
        <v>#N/A</v>
      </c>
      <c r="N41" s="255" t="e">
        <f>+H41+J41+K41+M41+L41</f>
        <v>#N/A</v>
      </c>
      <c r="O41" s="256"/>
      <c r="P41" s="255" t="e">
        <f>+IF(AND(OR(D41='Taboa Dat. '!$J$4,D41='Taboa Dat. '!$K$4,D41='Taboa Dat. '!$L$4,D41='Taboa Dat. '!$M$4,D41='Taboa Dat. '!$N$4),'Gastos de Persoal'!O41=""),'Gastos de Persoal'!N41*SUM('Taboa Dat. '!$J$5:$J$7),IF(AND(OR(D41='Taboa Dat. '!$J$4,'Taboa Dat. '!$K$4,'Taboa Dat. '!$L$4,'Taboa Dat. '!$M$4,'Taboa Dat. '!$N$4),'Gastos de Persoal'!O41="a"),'Gastos de Persoal'!N41*('Taboa Dat. '!$J$5+'Taboa Dat. '!$J$6+'Taboa Dat. '!$J$8),IF(AND(OR(D41='Taboa Dat. '!$J$4,'Taboa Dat. '!$K$4,'Taboa Dat. '!$L$4,'Taboa Dat. '!$M$4,'Taboa Dat. '!$N$4),'Gastos de Persoal'!O41="g"),'Gastos de Persoal'!N41*('Taboa Dat. '!$J$5+'Taboa Dat. '!$J$6+'Taboa Dat. '!$J$9),'Gastos de Persoal'!N41*SUM('Taboa Dat. '!$O$5:$O$7))))</f>
        <v>#N/A</v>
      </c>
      <c r="Q41" s="255"/>
      <c r="R41" s="255" t="e">
        <f>+P41+N41-Q41</f>
        <v>#N/A</v>
      </c>
      <c r="S41" s="313"/>
      <c r="T41" s="138"/>
    </row>
    <row r="42" spans="1:22" ht="15" customHeight="1">
      <c r="A42" s="160" t="s">
        <v>257</v>
      </c>
      <c r="B42" s="222"/>
      <c r="C42" s="222"/>
      <c r="D42" s="222"/>
      <c r="E42" s="223"/>
      <c r="F42" s="223"/>
      <c r="G42" s="224"/>
      <c r="H42" s="37">
        <v>0</v>
      </c>
      <c r="I42" s="163"/>
      <c r="J42" s="37"/>
      <c r="K42" s="37"/>
      <c r="L42" s="37"/>
      <c r="M42" s="37">
        <v>0</v>
      </c>
      <c r="N42" s="37">
        <f t="shared" ref="N42:N44" si="27">+H42+J42+K42+M42+L42</f>
        <v>0</v>
      </c>
      <c r="O42" s="214"/>
      <c r="P42" s="37">
        <f>+IF(AND(OR(D42='Taboa Dat. '!$J$4,D42='Taboa Dat. '!$K$4,D42='Taboa Dat. '!$L$4,D42='Taboa Dat. '!$M$4,D42='Taboa Dat. '!$N$4),'Gastos de Persoal'!O42=""),'Gastos de Persoal'!N42*SUM('Taboa Dat. '!$J$5:$J$7),IF(AND(OR(D42='Taboa Dat. '!$J$4,'Taboa Dat. '!$K$4,'Taboa Dat. '!$L$4,'Taboa Dat. '!$M$4,'Taboa Dat. '!$N$4),'Gastos de Persoal'!O42="a"),'Gastos de Persoal'!N42*('Taboa Dat. '!$J$5+'Taboa Dat. '!$J$6+'Taboa Dat. '!$J$8),IF(AND(OR(D42='Taboa Dat. '!$J$4,'Taboa Dat. '!$K$4,'Taboa Dat. '!$L$4,'Taboa Dat. '!$M$4,'Taboa Dat. '!$N$4),'Gastos de Persoal'!O42="g"),'Gastos de Persoal'!N42*('Taboa Dat. '!$J$5+'Taboa Dat. '!$J$6+'Taboa Dat. '!$J$9),'Gastos de Persoal'!N42*SUM('Taboa Dat. '!$O$5:$O$7))))</f>
        <v>0</v>
      </c>
      <c r="Q42" s="37"/>
      <c r="R42" s="37">
        <f t="shared" ref="R42:R43" si="28">+P42+N42-Q42</f>
        <v>0</v>
      </c>
      <c r="S42" s="313"/>
      <c r="V42" s="138"/>
    </row>
    <row r="43" spans="1:22" ht="15" customHeight="1">
      <c r="A43" s="160" t="s">
        <v>258</v>
      </c>
      <c r="B43" s="222"/>
      <c r="C43" s="222"/>
      <c r="D43" s="222"/>
      <c r="E43" s="223"/>
      <c r="F43" s="223"/>
      <c r="G43" s="224"/>
      <c r="H43" s="37">
        <v>0</v>
      </c>
      <c r="I43" s="163"/>
      <c r="J43" s="37"/>
      <c r="K43" s="37"/>
      <c r="L43" s="37"/>
      <c r="M43" s="37">
        <v>0</v>
      </c>
      <c r="N43" s="37">
        <f t="shared" si="27"/>
        <v>0</v>
      </c>
      <c r="O43" s="214"/>
      <c r="P43" s="37">
        <f>+IF(AND(OR(D43='Taboa Dat. '!$J$4,D43='Taboa Dat. '!$K$4,D43='Taboa Dat. '!$L$4,D43='Taboa Dat. '!$M$4,D43='Taboa Dat. '!$N$4),'Gastos de Persoal'!O43=""),'Gastos de Persoal'!N43*SUM('Taboa Dat. '!$J$5:$J$7),IF(AND(OR(D43='Taboa Dat. '!$J$4,'Taboa Dat. '!$K$4,'Taboa Dat. '!$L$4,'Taboa Dat. '!$M$4,'Taboa Dat. '!$N$4),'Gastos de Persoal'!O43="a"),'Gastos de Persoal'!N43*('Taboa Dat. '!$J$5+'Taboa Dat. '!$J$6+'Taboa Dat. '!$J$8),IF(AND(OR(D43='Taboa Dat. '!$J$4,'Taboa Dat. '!$K$4,'Taboa Dat. '!$L$4,'Taboa Dat. '!$M$4,'Taboa Dat. '!$N$4),'Gastos de Persoal'!O43="g"),'Gastos de Persoal'!N43*('Taboa Dat. '!$J$5+'Taboa Dat. '!$J$6+'Taboa Dat. '!$J$9),'Gastos de Persoal'!N43*SUM('Taboa Dat. '!$O$5:$O$7))))</f>
        <v>0</v>
      </c>
      <c r="Q43" s="37"/>
      <c r="R43" s="37">
        <f t="shared" si="28"/>
        <v>0</v>
      </c>
      <c r="S43" s="313"/>
      <c r="V43" s="138"/>
    </row>
    <row r="44" spans="1:22" ht="13.5" customHeight="1">
      <c r="A44" s="160" t="s">
        <v>259</v>
      </c>
      <c r="B44" s="7"/>
      <c r="C44" s="7"/>
      <c r="D44" s="7"/>
      <c r="E44" s="225"/>
      <c r="F44" s="225"/>
      <c r="G44" s="226"/>
      <c r="H44" s="37">
        <v>0</v>
      </c>
      <c r="I44" s="163"/>
      <c r="J44" s="37"/>
      <c r="K44" s="37"/>
      <c r="L44" s="37"/>
      <c r="M44" s="37">
        <v>0</v>
      </c>
      <c r="N44" s="37">
        <f t="shared" si="27"/>
        <v>0</v>
      </c>
      <c r="O44" s="214"/>
      <c r="P44" s="37">
        <f>+IF(AND(OR(D44='Taboa Dat. '!$J$4,D44='Taboa Dat. '!$K$4,D44='Taboa Dat. '!$L$4,D44='Taboa Dat. '!$M$4,D44='Taboa Dat. '!$N$4),'Gastos de Persoal'!O44=""),'Gastos de Persoal'!N44*SUM('Taboa Dat. '!$J$5:$J$7),IF(AND(OR(D44='Taboa Dat. '!$J$4,'Taboa Dat. '!$K$4,'Taboa Dat. '!$L$4,'Taboa Dat. '!$M$4,'Taboa Dat. '!$N$4),'Gastos de Persoal'!O44="a"),'Gastos de Persoal'!N44*('Taboa Dat. '!$J$5+'Taboa Dat. '!$J$6+'Taboa Dat. '!$J$8),IF(AND(OR(D44='Taboa Dat. '!$J$4,'Taboa Dat. '!$K$4,'Taboa Dat. '!$L$4,'Taboa Dat. '!$M$4,'Taboa Dat. '!$N$4),'Gastos de Persoal'!O44="g"),'Gastos de Persoal'!N44*('Taboa Dat. '!$J$5+'Taboa Dat. '!$J$6+'Taboa Dat. '!$J$9),'Gastos de Persoal'!N44*SUM('Taboa Dat. '!$O$5:$O$7))))</f>
        <v>0</v>
      </c>
      <c r="Q44" s="37"/>
      <c r="R44" s="37">
        <f>+P44+N44-Q44</f>
        <v>0</v>
      </c>
      <c r="V44" s="138"/>
    </row>
    <row r="45" spans="1:22" ht="14.25" customHeight="1">
      <c r="A45" s="227" t="s">
        <v>260</v>
      </c>
      <c r="B45" s="227"/>
      <c r="C45" s="227"/>
      <c r="D45" s="227"/>
      <c r="E45" s="227"/>
      <c r="F45" s="227"/>
      <c r="G45" s="227"/>
      <c r="H45" s="38" t="e">
        <f>SUM(H6:H44)</f>
        <v>#N/A</v>
      </c>
      <c r="I45" s="38"/>
      <c r="J45" s="38">
        <f t="shared" ref="J45:S45" si="29">SUM(J6:J44)</f>
        <v>0</v>
      </c>
      <c r="K45" s="38">
        <f t="shared" si="29"/>
        <v>0</v>
      </c>
      <c r="L45" s="38" t="e">
        <f t="shared" si="29"/>
        <v>#N/A</v>
      </c>
      <c r="M45" s="38" t="e">
        <f t="shared" si="29"/>
        <v>#N/A</v>
      </c>
      <c r="N45" s="38" t="e">
        <f t="shared" si="29"/>
        <v>#N/A</v>
      </c>
      <c r="O45" s="38">
        <f t="shared" si="29"/>
        <v>0</v>
      </c>
      <c r="P45" s="38" t="e">
        <f t="shared" si="29"/>
        <v>#N/A</v>
      </c>
      <c r="Q45" s="38">
        <f t="shared" si="29"/>
        <v>0</v>
      </c>
      <c r="R45" s="38" t="e">
        <f t="shared" si="29"/>
        <v>#N/A</v>
      </c>
      <c r="S45" s="38"/>
    </row>
    <row r="46" spans="1:22" ht="15" customHeight="1">
      <c r="A46" s="48" t="s">
        <v>261</v>
      </c>
      <c r="B46" s="48"/>
      <c r="C46" s="48"/>
      <c r="D46" s="48"/>
      <c r="E46" s="48"/>
      <c r="F46" s="48"/>
      <c r="G46" s="48"/>
      <c r="R46" s="11"/>
    </row>
    <row r="47" spans="1:22" ht="10.5" customHeight="1"/>
    <row r="48" spans="1:22" ht="27.75" customHeight="1">
      <c r="A48" s="8" t="s">
        <v>241</v>
      </c>
      <c r="B48" s="8"/>
      <c r="C48" s="8"/>
      <c r="D48" s="8"/>
      <c r="E48" s="8"/>
      <c r="F48" s="8"/>
      <c r="G48" s="8"/>
      <c r="H48" s="8" t="s">
        <v>247</v>
      </c>
      <c r="I48" s="265"/>
      <c r="J48" s="8" t="s">
        <v>248</v>
      </c>
      <c r="K48" s="209" t="s">
        <v>249</v>
      </c>
      <c r="L48" s="209" t="s">
        <v>250</v>
      </c>
      <c r="M48" s="8" t="s">
        <v>251</v>
      </c>
      <c r="N48" s="8" t="s">
        <v>252</v>
      </c>
      <c r="O48" s="8"/>
      <c r="P48" s="9" t="s">
        <v>254</v>
      </c>
      <c r="Q48" s="211" t="s">
        <v>255</v>
      </c>
      <c r="R48" s="9" t="s">
        <v>256</v>
      </c>
    </row>
    <row r="49" spans="1:22" ht="15" customHeight="1">
      <c r="A49" s="217"/>
      <c r="B49" s="218"/>
      <c r="C49" s="25"/>
      <c r="D49" s="25"/>
      <c r="E49" s="212"/>
      <c r="F49" s="213"/>
      <c r="G49" s="213"/>
      <c r="H49" s="37">
        <f>+VLOOKUP(B49,'Taboa Dat. '!$A$3:$C$41,3)*12*G49*F49</f>
        <v>0</v>
      </c>
      <c r="I49" s="163"/>
      <c r="J49" s="37">
        <f>IF(I49="",0,+VLOOKUP(I49,'Taboa Dat. '!$H$13:$J$17,3)*12*F49*G49)</f>
        <v>0</v>
      </c>
      <c r="K49" s="37">
        <f>1*12*F49*G49</f>
        <v>0</v>
      </c>
      <c r="L49" s="37" t="e">
        <f>(+VLOOKUP(B49,'Taboa Dat. '!$A$4:D$41,4)*12*F49*G49)*2</f>
        <v>#N/A</v>
      </c>
      <c r="M49" s="37">
        <f t="shared" ref="M49:M60" si="30">(+H49+K49+J49)*2/12</f>
        <v>0</v>
      </c>
      <c r="N49" s="37" t="e">
        <f>+H49+J49+K49+M49+L49</f>
        <v>#N/A</v>
      </c>
      <c r="O49" s="214"/>
      <c r="P49" s="37" t="e">
        <f>+IF(AND(OR(D49='Taboa Dat. '!$J$4,D49='Taboa Dat. '!$K$4,D49='Taboa Dat. '!$L$4,D49='Taboa Dat. '!$M$4,D49='Taboa Dat. '!$N$4),'Gastos de Persoal'!O49=""),'Gastos de Persoal'!N49*SUM('Taboa Dat. '!$J$5:$J$7),IF(AND(OR(D49='Taboa Dat. '!$J$4,'Taboa Dat. '!$K$4,'Taboa Dat. '!$L$4,'Taboa Dat. '!$M$4,'Taboa Dat. '!$N$4),'Gastos de Persoal'!O49="a"),'Gastos de Persoal'!N49*('Taboa Dat. '!$J$5+'Taboa Dat. '!$J$6+'Taboa Dat. '!$J$8),IF(AND(OR(D49='Taboa Dat. '!$J$4,'Taboa Dat. '!$K$4,'Taboa Dat. '!$L$4,'Taboa Dat. '!$M$4,'Taboa Dat. '!$N$4),'Gastos de Persoal'!O49="g"),'Gastos de Persoal'!N49*('Taboa Dat. '!$J$5+'Taboa Dat. '!$J$6+'Taboa Dat. '!$J$9),'Gastos de Persoal'!N49*SUM('Taboa Dat. '!$O$5:$O$7))))</f>
        <v>#N/A</v>
      </c>
      <c r="Q49" s="37"/>
      <c r="R49" s="37" t="e">
        <f t="shared" ref="R49:R60" si="31">+P49+N49-Q49</f>
        <v>#N/A</v>
      </c>
      <c r="S49" s="170"/>
    </row>
    <row r="50" spans="1:22" ht="15" customHeight="1">
      <c r="A50" s="220"/>
      <c r="B50" s="186"/>
      <c r="C50" s="25"/>
      <c r="D50" s="25"/>
      <c r="E50" s="212"/>
      <c r="F50" s="213"/>
      <c r="G50" s="213"/>
      <c r="H50" s="37">
        <f>+VLOOKUP(B50,'Taboa Dat. '!$A$3:$C$41,3)*12*G50*F50</f>
        <v>0</v>
      </c>
      <c r="I50" s="163"/>
      <c r="J50" s="37">
        <f>IF(I50="",0,+VLOOKUP(I50,'Taboa Dat. '!$H$13:$J$17,3)*12*F50*G50)</f>
        <v>0</v>
      </c>
      <c r="K50" s="37">
        <f t="shared" ref="K50:K65" si="32">1*12*F50*G50</f>
        <v>0</v>
      </c>
      <c r="L50" s="37" t="e">
        <f>(+VLOOKUP(B50,'Taboa Dat. '!$A$4:D$41,4)*12*F50*G50)*2</f>
        <v>#N/A</v>
      </c>
      <c r="M50" s="37">
        <f t="shared" si="30"/>
        <v>0</v>
      </c>
      <c r="N50" s="37" t="e">
        <f t="shared" ref="N50:N65" si="33">+H50+J50+K50+M50+L50</f>
        <v>#N/A</v>
      </c>
      <c r="O50" s="214" t="s">
        <v>262</v>
      </c>
      <c r="P50" s="37" t="e">
        <f>+IF(AND(OR(D50='Taboa Dat. '!$J$4,D50='Taboa Dat. '!$K$4,D50='Taboa Dat. '!$L$4,D50='Taboa Dat. '!$M$4,D50='Taboa Dat. '!$N$4),'Gastos de Persoal'!O50=""),'Gastos de Persoal'!N50*SUM('Taboa Dat. '!$J$5:$J$7),IF(AND(OR(D50='Taboa Dat. '!$J$4,'Taboa Dat. '!$K$4,'Taboa Dat. '!$L$4,'Taboa Dat. '!$M$4,'Taboa Dat. '!$N$4),'Gastos de Persoal'!O50="a"),'Gastos de Persoal'!N50*('Taboa Dat. '!$J$5+'Taboa Dat. '!$J$6+'Taboa Dat. '!$J$8),IF(AND(OR(D50='Taboa Dat. '!$J$4,'Taboa Dat. '!$K$4,'Taboa Dat. '!$L$4,'Taboa Dat. '!$M$4,'Taboa Dat. '!$N$4),'Gastos de Persoal'!O50="g"),'Gastos de Persoal'!N50*('Taboa Dat. '!$J$5+'Taboa Dat. '!$J$6+'Taboa Dat. '!$J$9),'Gastos de Persoal'!N50*SUM('Taboa Dat. '!$O$5:$O$7))))</f>
        <v>#N/A</v>
      </c>
      <c r="Q50" s="37"/>
      <c r="R50" s="37" t="e">
        <f t="shared" si="31"/>
        <v>#N/A</v>
      </c>
    </row>
    <row r="51" spans="1:22" ht="15" customHeight="1">
      <c r="A51" s="7"/>
      <c r="B51" s="25"/>
      <c r="C51" s="25"/>
      <c r="D51" s="25"/>
      <c r="E51" s="212"/>
      <c r="F51" s="213"/>
      <c r="G51" s="213"/>
      <c r="H51" s="37">
        <f>+VLOOKUP(B51,'Taboa Dat. '!$A$3:$C$41,3)*12*G51*F51</f>
        <v>0</v>
      </c>
      <c r="I51" s="163"/>
      <c r="J51" s="37">
        <f>IF(I51="",0,+VLOOKUP(I51,'Taboa Dat. '!$H$13:$J$17,3)*12*F51*G51)</f>
        <v>0</v>
      </c>
      <c r="K51" s="37">
        <f t="shared" si="32"/>
        <v>0</v>
      </c>
      <c r="L51" s="37" t="e">
        <f>(+VLOOKUP(B51,'Taboa Dat. '!$A$4:D$41,4)*12*F51*G51)*2</f>
        <v>#N/A</v>
      </c>
      <c r="M51" s="37">
        <f t="shared" si="30"/>
        <v>0</v>
      </c>
      <c r="N51" s="37" t="e">
        <f t="shared" si="33"/>
        <v>#N/A</v>
      </c>
      <c r="O51" s="214" t="s">
        <v>262</v>
      </c>
      <c r="P51" s="37" t="e">
        <f>+IF(AND(OR(D51='Taboa Dat. '!$J$4,D51='Taboa Dat. '!$K$4,D51='Taboa Dat. '!$L$4,D51='Taboa Dat. '!$M$4,D51='Taboa Dat. '!$N$4),'Gastos de Persoal'!O51=""),'Gastos de Persoal'!N51*SUM('Taboa Dat. '!$J$5:$J$7),IF(AND(OR(D51='Taboa Dat. '!$J$4,'Taboa Dat. '!$K$4,'Taboa Dat. '!$L$4,'Taboa Dat. '!$M$4,'Taboa Dat. '!$N$4),'Gastos de Persoal'!O51="a"),'Gastos de Persoal'!N51*('Taboa Dat. '!$J$5+'Taboa Dat. '!$J$6+'Taboa Dat. '!$J$8),IF(AND(OR(D51='Taboa Dat. '!$J$4,'Taboa Dat. '!$K$4,'Taboa Dat. '!$L$4,'Taboa Dat. '!$M$4,'Taboa Dat. '!$N$4),'Gastos de Persoal'!O51="g"),'Gastos de Persoal'!N51*('Taboa Dat. '!$J$5+'Taboa Dat. '!$J$6+'Taboa Dat. '!$J$9),'Gastos de Persoal'!N51*SUM('Taboa Dat. '!$O$5:$O$7))))</f>
        <v>#N/A</v>
      </c>
      <c r="Q51" s="37"/>
      <c r="R51" s="37" t="e">
        <f t="shared" si="31"/>
        <v>#N/A</v>
      </c>
    </row>
    <row r="52" spans="1:22" ht="15" customHeight="1">
      <c r="A52" s="7"/>
      <c r="B52" s="25"/>
      <c r="C52" s="25"/>
      <c r="D52" s="25"/>
      <c r="E52" s="212"/>
      <c r="F52" s="213"/>
      <c r="G52" s="213"/>
      <c r="H52" s="37">
        <f>+VLOOKUP(B52,'Taboa Dat. '!$A$3:$C$41,3)*12*G52*F52</f>
        <v>0</v>
      </c>
      <c r="I52" s="163"/>
      <c r="J52" s="37">
        <f>IF(I52="",0,+VLOOKUP(I52,'Taboa Dat. '!$H$13:$J$17,3)*12*F52*G52)</f>
        <v>0</v>
      </c>
      <c r="K52" s="37">
        <f t="shared" si="32"/>
        <v>0</v>
      </c>
      <c r="L52" s="37" t="e">
        <f>(+VLOOKUP(B52,'Taboa Dat. '!$A$4:D$41,4)*12*F52*G52)*2</f>
        <v>#N/A</v>
      </c>
      <c r="M52" s="37">
        <f t="shared" si="30"/>
        <v>0</v>
      </c>
      <c r="N52" s="37" t="e">
        <f t="shared" si="33"/>
        <v>#N/A</v>
      </c>
      <c r="O52" s="214" t="s">
        <v>262</v>
      </c>
      <c r="P52" s="37" t="e">
        <f>+IF(AND(OR(D52='Taboa Dat. '!$J$4,D52='Taboa Dat. '!$K$4,D52='Taboa Dat. '!$L$4,D52='Taboa Dat. '!$M$4,D52='Taboa Dat. '!$N$4),'Gastos de Persoal'!O52=""),'Gastos de Persoal'!N52*SUM('Taboa Dat. '!$J$5:$J$7),IF(AND(OR(D52='Taboa Dat. '!$J$4,'Taboa Dat. '!$K$4,'Taboa Dat. '!$L$4,'Taboa Dat. '!$M$4,'Taboa Dat. '!$N$4),'Gastos de Persoal'!O52="a"),'Gastos de Persoal'!N52*('Taboa Dat. '!$J$5+'Taboa Dat. '!$J$6+'Taboa Dat. '!$J$8),IF(AND(OR(D52='Taboa Dat. '!$J$4,'Taboa Dat. '!$K$4,'Taboa Dat. '!$L$4,'Taboa Dat. '!$M$4,'Taboa Dat. '!$N$4),'Gastos de Persoal'!O52="g"),'Gastos de Persoal'!N52*('Taboa Dat. '!$J$5+'Taboa Dat. '!$J$6+'Taboa Dat. '!$J$9),'Gastos de Persoal'!N52*SUM('Taboa Dat. '!$O$5:$O$7))))</f>
        <v>#N/A</v>
      </c>
      <c r="Q52" s="37"/>
      <c r="R52" s="37" t="e">
        <f t="shared" si="31"/>
        <v>#N/A</v>
      </c>
    </row>
    <row r="53" spans="1:22" ht="15" customHeight="1">
      <c r="A53" s="217"/>
      <c r="B53" s="218"/>
      <c r="C53" s="25"/>
      <c r="D53" s="25"/>
      <c r="E53" s="212"/>
      <c r="F53" s="213"/>
      <c r="G53" s="213"/>
      <c r="H53" s="37">
        <f>+VLOOKUP(B53,'Taboa Dat. '!$A$3:$C$41,3)*12*G53*F53</f>
        <v>0</v>
      </c>
      <c r="I53" s="163"/>
      <c r="J53" s="37">
        <f>IF(I53="",0,+VLOOKUP(I53,'Taboa Dat. '!$H$13:$J$17,3)*12*F53*G53)</f>
        <v>0</v>
      </c>
      <c r="K53" s="37">
        <f t="shared" si="32"/>
        <v>0</v>
      </c>
      <c r="L53" s="37" t="e">
        <f>(+VLOOKUP(B53,'Taboa Dat. '!$A$4:D$41,4)*12*F53*G53)*2</f>
        <v>#N/A</v>
      </c>
      <c r="M53" s="37">
        <f t="shared" si="30"/>
        <v>0</v>
      </c>
      <c r="N53" s="37" t="e">
        <f t="shared" si="33"/>
        <v>#N/A</v>
      </c>
      <c r="O53" s="214"/>
      <c r="P53" s="37" t="e">
        <f>+IF(AND(OR(D53='Taboa Dat. '!$J$4,D53='Taboa Dat. '!$K$4,D53='Taboa Dat. '!$L$4,D53='Taboa Dat. '!$M$4,D53='Taboa Dat. '!$N$4),'Gastos de Persoal'!O53=""),'Gastos de Persoal'!N53*SUM('Taboa Dat. '!$J$5:$J$7),IF(AND(OR(D53='Taboa Dat. '!$J$4,'Taboa Dat. '!$K$4,'Taboa Dat. '!$L$4,'Taboa Dat. '!$M$4,'Taboa Dat. '!$N$4),'Gastos de Persoal'!O53="a"),'Gastos de Persoal'!N53*('Taboa Dat. '!$J$5+'Taboa Dat. '!$J$6+'Taboa Dat. '!$J$8),IF(AND(OR(D53='Taboa Dat. '!$J$4,'Taboa Dat. '!$K$4,'Taboa Dat. '!$L$4,'Taboa Dat. '!$M$4,'Taboa Dat. '!$N$4),'Gastos de Persoal'!O53="g"),'Gastos de Persoal'!N53*('Taboa Dat. '!$J$5+'Taboa Dat. '!$J$6+'Taboa Dat. '!$J$9),'Gastos de Persoal'!N53*SUM('Taboa Dat. '!$O$5:$O$7))))</f>
        <v>#N/A</v>
      </c>
      <c r="Q53" s="37"/>
      <c r="R53" s="37" t="e">
        <f t="shared" si="31"/>
        <v>#N/A</v>
      </c>
    </row>
    <row r="54" spans="1:22" ht="15" customHeight="1">
      <c r="A54" s="7"/>
      <c r="B54" s="25"/>
      <c r="C54" s="25"/>
      <c r="D54" s="25"/>
      <c r="E54" s="212"/>
      <c r="F54" s="213"/>
      <c r="G54" s="213"/>
      <c r="H54" s="37">
        <f>+VLOOKUP(B54,'Taboa Dat. '!$A$3:$C$41,3)*12*G54*F54</f>
        <v>0</v>
      </c>
      <c r="I54" s="163"/>
      <c r="J54" s="37">
        <f>IF(I54="",0,+VLOOKUP(I54,'Taboa Dat. '!$H$13:$J$17,3)*12*F54*G54)</f>
        <v>0</v>
      </c>
      <c r="K54" s="37">
        <f t="shared" si="32"/>
        <v>0</v>
      </c>
      <c r="L54" s="37" t="e">
        <f>(+VLOOKUP(B54,'Taboa Dat. '!$A$4:D$41,4)*12*F54*G54)*2</f>
        <v>#N/A</v>
      </c>
      <c r="M54" s="37">
        <f t="shared" si="30"/>
        <v>0</v>
      </c>
      <c r="N54" s="37" t="e">
        <f t="shared" si="33"/>
        <v>#N/A</v>
      </c>
      <c r="O54" s="214"/>
      <c r="P54" s="37" t="e">
        <f>+IF(AND(OR(D54='Taboa Dat. '!$J$4,D54='Taboa Dat. '!$K$4,D54='Taboa Dat. '!$L$4,D54='Taboa Dat. '!$M$4,D54='Taboa Dat. '!$N$4),'Gastos de Persoal'!O54=""),'Gastos de Persoal'!N54*SUM('Taboa Dat. '!$J$5:$J$7),IF(AND(OR(D54='Taboa Dat. '!$J$4,'Taboa Dat. '!$K$4,'Taboa Dat. '!$L$4,'Taboa Dat. '!$M$4,'Taboa Dat. '!$N$4),'Gastos de Persoal'!O54="a"),'Gastos de Persoal'!N54*('Taboa Dat. '!$J$5+'Taboa Dat. '!$J$6+'Taboa Dat. '!$J$8),IF(AND(OR(D54='Taboa Dat. '!$J$4,'Taboa Dat. '!$K$4,'Taboa Dat. '!$L$4,'Taboa Dat. '!$M$4,'Taboa Dat. '!$N$4),'Gastos de Persoal'!O54="g"),'Gastos de Persoal'!N54*('Taboa Dat. '!$J$5+'Taboa Dat. '!$J$6+'Taboa Dat. '!$J$9),'Gastos de Persoal'!N54*SUM('Taboa Dat. '!$O$5:$O$7))))</f>
        <v>#N/A</v>
      </c>
      <c r="Q54" s="37"/>
      <c r="R54" s="37" t="e">
        <f t="shared" si="31"/>
        <v>#N/A</v>
      </c>
    </row>
    <row r="55" spans="1:22" ht="15" customHeight="1">
      <c r="A55" s="7"/>
      <c r="B55" s="25"/>
      <c r="C55" s="25"/>
      <c r="D55" s="25"/>
      <c r="E55" s="212"/>
      <c r="F55" s="213"/>
      <c r="G55" s="213"/>
      <c r="H55" s="37">
        <f>+VLOOKUP(B55,'Taboa Dat. '!$A$3:$C$41,3)*12*G55*F55</f>
        <v>0</v>
      </c>
      <c r="I55" s="163"/>
      <c r="J55" s="37">
        <f>IF(I55="",0,+VLOOKUP(I55,'Taboa Dat. '!$H$13:$J$17,3)*12*F55*G55)</f>
        <v>0</v>
      </c>
      <c r="K55" s="37">
        <f t="shared" si="32"/>
        <v>0</v>
      </c>
      <c r="L55" s="37" t="e">
        <f>(+VLOOKUP(B55,'Taboa Dat. '!$A$4:D$41,4)*12*F55*G55)*2-856.13</f>
        <v>#N/A</v>
      </c>
      <c r="M55" s="37">
        <f t="shared" si="30"/>
        <v>0</v>
      </c>
      <c r="N55" s="37" t="e">
        <f t="shared" si="33"/>
        <v>#N/A</v>
      </c>
      <c r="O55" s="214"/>
      <c r="P55" s="37" t="e">
        <f>+IF(AND(OR(D55='Taboa Dat. '!$J$4,D55='Taboa Dat. '!$K$4,D55='Taboa Dat. '!$L$4,D55='Taboa Dat. '!$M$4,D55='Taboa Dat. '!$N$4),'Gastos de Persoal'!O55=""),'Gastos de Persoal'!N55*SUM('Taboa Dat. '!$J$5:$J$7),IF(AND(OR(D55='Taboa Dat. '!$J$4,'Taboa Dat. '!$K$4,'Taboa Dat. '!$L$4,'Taboa Dat. '!$M$4,'Taboa Dat. '!$N$4),'Gastos de Persoal'!O55="a"),'Gastos de Persoal'!N55*('Taboa Dat. '!$J$5+'Taboa Dat. '!$J$6+'Taboa Dat. '!$J$8),IF(AND(OR(D55='Taboa Dat. '!$J$4,'Taboa Dat. '!$K$4,'Taboa Dat. '!$L$4,'Taboa Dat. '!$M$4,'Taboa Dat. '!$N$4),'Gastos de Persoal'!O55="g"),'Gastos de Persoal'!N55*('Taboa Dat. '!$J$5+'Taboa Dat. '!$J$6+'Taboa Dat. '!$J$9),'Gastos de Persoal'!N55*SUM('Taboa Dat. '!$O$5:$O$7))))+5394.33</f>
        <v>#N/A</v>
      </c>
      <c r="Q55" s="287"/>
      <c r="R55" s="37" t="e">
        <f t="shared" si="31"/>
        <v>#N/A</v>
      </c>
      <c r="S55" s="312"/>
      <c r="T55" s="170"/>
    </row>
    <row r="56" spans="1:22" ht="15" customHeight="1">
      <c r="A56" s="159"/>
      <c r="B56" s="215"/>
      <c r="C56" s="25"/>
      <c r="D56" s="25"/>
      <c r="E56" s="212"/>
      <c r="F56" s="213"/>
      <c r="G56" s="213"/>
      <c r="H56" s="37">
        <f>+VLOOKUP(B56,'Taboa Dat. '!$A$3:$C$41,3)*12*G56*F56</f>
        <v>0</v>
      </c>
      <c r="I56" s="163"/>
      <c r="J56" s="37">
        <f>IF(I56="",0,+VLOOKUP(I56,'Taboa Dat. '!$H$13:$J$17,3)*12*F56*G56)</f>
        <v>0</v>
      </c>
      <c r="K56" s="37">
        <f t="shared" si="32"/>
        <v>0</v>
      </c>
      <c r="L56" s="37" t="e">
        <f>((+VLOOKUP(B56,'Taboa Dat. '!$A$4:D$41,4))*12*F56*G56)*2</f>
        <v>#N/A</v>
      </c>
      <c r="M56" s="37">
        <f>(+H56+K56+J56)*2/12</f>
        <v>0</v>
      </c>
      <c r="N56" s="37" t="e">
        <f>+H56+J56+K56+M56+L56</f>
        <v>#N/A</v>
      </c>
      <c r="O56" s="214"/>
      <c r="P56" s="37" t="e">
        <f>+IF(AND(OR(D56='Taboa Dat. '!$J$4,D56='Taboa Dat. '!$K$4,D56='Taboa Dat. '!$L$4,D56='Taboa Dat. '!$M$4,D56='Taboa Dat. '!$N$4),'Gastos de Persoal'!O56=""),'Gastos de Persoal'!N56*SUM('Taboa Dat. '!$J$5:$J$7),IF(AND(OR(D56='Taboa Dat. '!$J$4,'Taboa Dat. '!$K$4,'Taboa Dat. '!$L$4,'Taboa Dat. '!$M$4,'Taboa Dat. '!$N$4),'Gastos de Persoal'!O56="a"),'Gastos de Persoal'!N56*('Taboa Dat. '!$J$5+'Taboa Dat. '!$J$6+'Taboa Dat. '!$J$8),IF(AND(OR(D56='Taboa Dat. '!$J$4,'Taboa Dat. '!$K$4,'Taboa Dat. '!$L$4,'Taboa Dat. '!$M$4,'Taboa Dat. '!$N$4),'Gastos de Persoal'!O56="g"),'Gastos de Persoal'!N56*('Taboa Dat. '!$J$5+'Taboa Dat. '!$J$6+'Taboa Dat. '!$J$9),'Gastos de Persoal'!N56*SUM('Taboa Dat. '!$O$5:$O$7))))</f>
        <v>#N/A</v>
      </c>
      <c r="Q56" s="37"/>
      <c r="R56" s="37" t="e">
        <f>+P56+N56-Q56</f>
        <v>#N/A</v>
      </c>
      <c r="S56" s="313"/>
      <c r="T56" s="170"/>
    </row>
    <row r="57" spans="1:22" ht="15" customHeight="1">
      <c r="A57" s="159"/>
      <c r="B57" s="215"/>
      <c r="C57" s="25"/>
      <c r="D57" s="25"/>
      <c r="E57" s="212"/>
      <c r="F57" s="213"/>
      <c r="G57" s="213"/>
      <c r="H57" s="37">
        <f>+VLOOKUP(B57,'Taboa Dat. '!$A$3:$C$41,3)*12*G57*F57</f>
        <v>0</v>
      </c>
      <c r="I57" s="163"/>
      <c r="J57" s="37">
        <f>IF(I57="",0,+VLOOKUP(I57,'Taboa Dat. '!$H$13:$J$17,3)*12*F57*G57)</f>
        <v>0</v>
      </c>
      <c r="K57" s="37">
        <f t="shared" si="32"/>
        <v>0</v>
      </c>
      <c r="L57" s="37" t="e">
        <f>((+VLOOKUP(B57,'Taboa Dat. '!$A$4:D$41,4))*12*F57*G57)*2</f>
        <v>#N/A</v>
      </c>
      <c r="M57" s="37">
        <f t="shared" si="30"/>
        <v>0</v>
      </c>
      <c r="N57" s="37" t="e">
        <f t="shared" si="33"/>
        <v>#N/A</v>
      </c>
      <c r="O57" s="214"/>
      <c r="P57" s="37" t="e">
        <f>+IF(AND(OR(D57='Taboa Dat. '!$J$4,D57='Taboa Dat. '!$K$4,D57='Taboa Dat. '!$L$4,D57='Taboa Dat. '!$M$4,D57='Taboa Dat. '!$N$4),'Gastos de Persoal'!O57=""),'Gastos de Persoal'!N57*SUM('Taboa Dat. '!$J$5:$J$7),IF(AND(OR(D57='Taboa Dat. '!$J$4,'Taboa Dat. '!$K$4,'Taboa Dat. '!$L$4,'Taboa Dat. '!$M$4,'Taboa Dat. '!$N$4),'Gastos de Persoal'!O57="a"),'Gastos de Persoal'!N57*('Taboa Dat. '!$J$5+'Taboa Dat. '!$J$6+'Taboa Dat. '!$J$8),IF(AND(OR(D57='Taboa Dat. '!$J$4,'Taboa Dat. '!$K$4,'Taboa Dat. '!$L$4,'Taboa Dat. '!$M$4,'Taboa Dat. '!$N$4),'Gastos de Persoal'!O57="g"),'Gastos de Persoal'!N57*('Taboa Dat. '!$J$5+'Taboa Dat. '!$J$6+'Taboa Dat. '!$J$9),'Gastos de Persoal'!N57*SUM('Taboa Dat. '!$O$5:$O$7))))</f>
        <v>#N/A</v>
      </c>
      <c r="Q57" s="37"/>
      <c r="R57" s="37" t="e">
        <f t="shared" si="31"/>
        <v>#N/A</v>
      </c>
      <c r="S57" s="313"/>
    </row>
    <row r="58" spans="1:22" ht="15" customHeight="1">
      <c r="A58" s="159"/>
      <c r="B58" s="215"/>
      <c r="C58" s="25"/>
      <c r="D58" s="25"/>
      <c r="E58" s="212"/>
      <c r="F58" s="213"/>
      <c r="G58" s="213"/>
      <c r="H58" s="37">
        <f>+VLOOKUP(B58,'Taboa Dat. '!$A$3:$C$41,3)*12*G58*F58</f>
        <v>0</v>
      </c>
      <c r="I58" s="163"/>
      <c r="J58" s="37">
        <f>IF(I58="",0,+VLOOKUP(I58,'Taboa Dat. '!$H$13:$J$17,3)*12*F58*G58)</f>
        <v>0</v>
      </c>
      <c r="K58" s="37">
        <f t="shared" si="32"/>
        <v>0</v>
      </c>
      <c r="L58" s="37" t="e">
        <f>((+VLOOKUP(B58,'Taboa Dat. '!$A$4:D$41,4))*12*F58*G58)*2</f>
        <v>#N/A</v>
      </c>
      <c r="M58" s="37">
        <f>(+H58+K58+J58)*2/12</f>
        <v>0</v>
      </c>
      <c r="N58" s="37" t="e">
        <f>+H58+J58+K58+M58+L58</f>
        <v>#N/A</v>
      </c>
      <c r="O58" s="214"/>
      <c r="P58" s="37" t="e">
        <f>+IF(AND(OR(D58='Taboa Dat. '!$J$4,D58='Taboa Dat. '!$K$4,D58='Taboa Dat. '!$L$4,D58='Taboa Dat. '!$M$4,D58='Taboa Dat. '!$N$4),'Gastos de Persoal'!O58=""),'Gastos de Persoal'!N58*SUM('Taboa Dat. '!$J$5:$J$7),IF(AND(OR(D58='Taboa Dat. '!$J$4,'Taboa Dat. '!$K$4,'Taboa Dat. '!$L$4,'Taboa Dat. '!$M$4,'Taboa Dat. '!$N$4),'Gastos de Persoal'!O58="a"),'Gastos de Persoal'!N58*('Taboa Dat. '!$J$5+'Taboa Dat. '!$J$6+'Taboa Dat. '!$J$8),IF(AND(OR(D58='Taboa Dat. '!$J$4,'Taboa Dat. '!$K$4,'Taboa Dat. '!$L$4,'Taboa Dat. '!$M$4,'Taboa Dat. '!$N$4),'Gastos de Persoal'!O58="g"),'Gastos de Persoal'!N58*('Taboa Dat. '!$J$5+'Taboa Dat. '!$J$6+'Taboa Dat. '!$J$9),'Gastos de Persoal'!N58*SUM('Taboa Dat. '!$O$5:$O$7))))</f>
        <v>#N/A</v>
      </c>
      <c r="Q58" s="37"/>
      <c r="R58" s="37" t="e">
        <f>+P58+N58-Q58</f>
        <v>#N/A</v>
      </c>
      <c r="S58" s="313"/>
    </row>
    <row r="59" spans="1:22" ht="15" customHeight="1">
      <c r="A59" s="159"/>
      <c r="B59" s="215"/>
      <c r="C59" s="25"/>
      <c r="D59" s="25"/>
      <c r="E59" s="212"/>
      <c r="F59" s="213"/>
      <c r="G59" s="221"/>
      <c r="H59" s="37">
        <f>+VLOOKUP(B59,'Taboa Dat. '!$A$3:$C$41,3)*12*G59*F59</f>
        <v>0</v>
      </c>
      <c r="I59" s="163"/>
      <c r="J59" s="37">
        <f>IF(I59="",0,+VLOOKUP(I59,'Taboa Dat. '!$H$13:$J$17,3)*12*F59*G59)</f>
        <v>0</v>
      </c>
      <c r="K59" s="37">
        <f t="shared" si="32"/>
        <v>0</v>
      </c>
      <c r="L59" s="37" t="e">
        <f>((+VLOOKUP(B59,'Taboa Dat. '!$A$4:D$41,4))*12*F59*G59)*2</f>
        <v>#N/A</v>
      </c>
      <c r="M59" s="37">
        <f>(+H59+K59+J59)*2/12</f>
        <v>0</v>
      </c>
      <c r="N59" s="37" t="e">
        <f>+H59+J59+K59+M59+L59</f>
        <v>#N/A</v>
      </c>
      <c r="O59" s="214"/>
      <c r="P59" s="37" t="e">
        <f>+IF(AND(OR(D59='Taboa Dat. '!$J$4,D59='Taboa Dat. '!$K$4,D59='Taboa Dat. '!$L$4,D59='Taboa Dat. '!$M$4,D59='Taboa Dat. '!$N$4),'Gastos de Persoal'!O59=""),'Gastos de Persoal'!N59*SUM('Taboa Dat. '!$J$5:$J$7),IF(AND(OR(D59='Taboa Dat. '!$J$4,'Taboa Dat. '!$K$4,'Taboa Dat. '!$L$4,'Taboa Dat. '!$M$4,'Taboa Dat. '!$N$4),'Gastos de Persoal'!O59="a"),'Gastos de Persoal'!N59*('Taboa Dat. '!$J$5+'Taboa Dat. '!$J$6+'Taboa Dat. '!$J$8),IF(AND(OR(D59='Taboa Dat. '!$J$4,'Taboa Dat. '!$K$4,'Taboa Dat. '!$L$4,'Taboa Dat. '!$M$4,'Taboa Dat. '!$N$4),'Gastos de Persoal'!O59="g"),'Gastos de Persoal'!N59*('Taboa Dat. '!$J$5+'Taboa Dat. '!$J$6+'Taboa Dat. '!$J$9),'Gastos de Persoal'!N59*SUM('Taboa Dat. '!$O$5:$O$7))))</f>
        <v>#N/A</v>
      </c>
      <c r="Q59" s="37"/>
      <c r="R59" s="37" t="e">
        <f>+P59+N59-Q59</f>
        <v>#N/A</v>
      </c>
      <c r="S59" s="313"/>
      <c r="V59" s="138"/>
    </row>
    <row r="60" spans="1:22" ht="15" customHeight="1">
      <c r="A60" s="7"/>
      <c r="B60" s="25"/>
      <c r="C60" s="25"/>
      <c r="D60" s="25"/>
      <c r="E60" s="212"/>
      <c r="F60" s="213"/>
      <c r="G60" s="213"/>
      <c r="H60" s="37">
        <f>+VLOOKUP(B60,'Taboa Dat. '!$A$3:$C$41,3)*12*G60*F60</f>
        <v>0</v>
      </c>
      <c r="I60" s="163"/>
      <c r="J60" s="37">
        <f>IF(I60="",0,+VLOOKUP(I60,'Taboa Dat. '!$H$13:$J$17,3)*12*F60*G60)</f>
        <v>0</v>
      </c>
      <c r="K60" s="37">
        <f t="shared" si="32"/>
        <v>0</v>
      </c>
      <c r="L60" s="37" t="e">
        <f>((+VLOOKUP(B60,'Taboa Dat. '!$A$4:D$41,4))*12*F60*G60)*2</f>
        <v>#N/A</v>
      </c>
      <c r="M60" s="37">
        <f t="shared" si="30"/>
        <v>0</v>
      </c>
      <c r="N60" s="37" t="e">
        <f t="shared" si="33"/>
        <v>#N/A</v>
      </c>
      <c r="O60" s="214" t="s">
        <v>263</v>
      </c>
      <c r="P60" s="37" t="e">
        <f>+IF(AND(OR(D60='Taboa Dat. '!$J$4,D60='Taboa Dat. '!$K$4,D60='Taboa Dat. '!$L$4,D60='Taboa Dat. '!$M$4,D60='Taboa Dat. '!$N$4),'Gastos de Persoal'!O60=""),'Gastos de Persoal'!N60*SUM('Taboa Dat. '!$J$5:$J$7),IF(AND(OR(D60='Taboa Dat. '!$J$4,'Taboa Dat. '!$K$4,'Taboa Dat. '!$L$4,'Taboa Dat. '!$M$4,'Taboa Dat. '!$N$4),'Gastos de Persoal'!O60="a"),'Gastos de Persoal'!N60*('Taboa Dat. '!$J$5+'Taboa Dat. '!$J$6+'Taboa Dat. '!$J$8),IF(AND(OR(D60='Taboa Dat. '!$J$4,'Taboa Dat. '!$K$4,'Taboa Dat. '!$L$4,'Taboa Dat. '!$M$4,'Taboa Dat. '!$N$4),'Gastos de Persoal'!O60="g"),'Gastos de Persoal'!N60*('Taboa Dat. '!$J$5+'Taboa Dat. '!$J$6+'Taboa Dat. '!$J$9),'Gastos de Persoal'!N60*SUM('Taboa Dat. '!$O$5:$O$7))))</f>
        <v>#N/A</v>
      </c>
      <c r="Q60" s="37"/>
      <c r="R60" s="37" t="e">
        <f t="shared" si="31"/>
        <v>#N/A</v>
      </c>
    </row>
    <row r="61" spans="1:22" ht="15" customHeight="1">
      <c r="A61" s="7"/>
      <c r="B61" s="25"/>
      <c r="C61" s="25"/>
      <c r="D61" s="25"/>
      <c r="E61" s="212"/>
      <c r="F61" s="213"/>
      <c r="G61" s="213"/>
      <c r="H61" s="37">
        <f>+VLOOKUP(B61,'Taboa Dat. '!$A$3:$C$41,3)*12*G61*F61</f>
        <v>0</v>
      </c>
      <c r="I61" s="163"/>
      <c r="J61" s="37">
        <f>IF(I61="",0,+VLOOKUP(I61,'Taboa Dat. '!$H$13:$J$17,3)*12*F61*G61)</f>
        <v>0</v>
      </c>
      <c r="K61" s="37">
        <f t="shared" si="32"/>
        <v>0</v>
      </c>
      <c r="L61" s="37" t="e">
        <f>((+VLOOKUP(B61,'Taboa Dat. '!$A$4:D$41,4))*12*F61*G61)*2</f>
        <v>#N/A</v>
      </c>
      <c r="M61" s="37">
        <f>(+H61+K61+J61)*2/12</f>
        <v>0</v>
      </c>
      <c r="N61" s="37" t="e">
        <f t="shared" si="33"/>
        <v>#N/A</v>
      </c>
      <c r="O61" s="214" t="s">
        <v>263</v>
      </c>
      <c r="P61" s="37" t="e">
        <f>+IF(AND(OR(D61='Taboa Dat. '!$J$4,D61='Taboa Dat. '!$K$4,D61='Taboa Dat. '!$L$4,D61='Taboa Dat. '!$M$4,D61='Taboa Dat. '!$N$4),'Gastos de Persoal'!O61=""),'Gastos de Persoal'!N61*SUM('Taboa Dat. '!$J$5:$J$7),IF(AND(OR(D61='Taboa Dat. '!$J$4,'Taboa Dat. '!$K$4,'Taboa Dat. '!$L$4,'Taboa Dat. '!$M$4,'Taboa Dat. '!$N$4),'Gastos de Persoal'!O61="a"),'Gastos de Persoal'!N61*('Taboa Dat. '!$J$5+'Taboa Dat. '!$J$6+'Taboa Dat. '!$J$8),IF(AND(OR(D61='Taboa Dat. '!$J$4,'Taboa Dat. '!$K$4,'Taboa Dat. '!$L$4,'Taboa Dat. '!$M$4,'Taboa Dat. '!$N$4),'Gastos de Persoal'!O61="g"),'Gastos de Persoal'!N61*('Taboa Dat. '!$J$5+'Taboa Dat. '!$J$6+'Taboa Dat. '!$J$9),'Gastos de Persoal'!N61*SUM('Taboa Dat. '!$O$5:$O$7))))</f>
        <v>#N/A</v>
      </c>
      <c r="Q61" s="37"/>
      <c r="R61" s="37" t="e">
        <f>+P61+N61-Q61</f>
        <v>#N/A</v>
      </c>
    </row>
    <row r="62" spans="1:22" ht="15" customHeight="1">
      <c r="A62" s="159"/>
      <c r="B62" s="215"/>
      <c r="C62" s="25"/>
      <c r="D62" s="25"/>
      <c r="E62" s="212"/>
      <c r="F62" s="213"/>
      <c r="G62" s="221"/>
      <c r="H62" s="37">
        <f>+VLOOKUP(B62,'Taboa Dat. '!$A$3:$C$41,3)*12*G62*F62</f>
        <v>0</v>
      </c>
      <c r="I62" s="163"/>
      <c r="J62" s="37">
        <f>IF(I62="",0,+VLOOKUP(I62,'Taboa Dat. '!$H$13:$J$17,3)*12*F62*G62)</f>
        <v>0</v>
      </c>
      <c r="K62" s="37">
        <f t="shared" si="32"/>
        <v>0</v>
      </c>
      <c r="L62" s="37" t="e">
        <f>((+VLOOKUP(B62,'Taboa Dat. '!$A$4:D$41,4))*12*F62*G62)*2</f>
        <v>#N/A</v>
      </c>
      <c r="M62" s="37">
        <f>(+H62+K62+J62)*2/12</f>
        <v>0</v>
      </c>
      <c r="N62" s="37" t="e">
        <f>+H62+J62+K62+M62+L62</f>
        <v>#N/A</v>
      </c>
      <c r="O62" s="214"/>
      <c r="P62" s="37" t="e">
        <f>+IF(AND(OR(D62='Taboa Dat. '!$J$4,D62='Taboa Dat. '!$K$4,D62='Taboa Dat. '!$L$4,D62='Taboa Dat. '!$M$4,D62='Taboa Dat. '!$N$4),'Gastos de Persoal'!O62=""),'Gastos de Persoal'!N62*SUM('Taboa Dat. '!$J$5:$J$7),IF(AND(OR(D62='Taboa Dat. '!$J$4,'Taboa Dat. '!$K$4,'Taboa Dat. '!$L$4,'Taboa Dat. '!$M$4,'Taboa Dat. '!$N$4),'Gastos de Persoal'!O62="a"),'Gastos de Persoal'!N62*('Taboa Dat. '!$J$5+'Taboa Dat. '!$J$6+'Taboa Dat. '!$J$8),IF(AND(OR(D62='Taboa Dat. '!$J$4,'Taboa Dat. '!$K$4,'Taboa Dat. '!$L$4,'Taboa Dat. '!$M$4,'Taboa Dat. '!$N$4),'Gastos de Persoal'!O62="g"),'Gastos de Persoal'!N62*('Taboa Dat. '!$J$5+'Taboa Dat. '!$J$6+'Taboa Dat. '!$J$9),'Gastos de Persoal'!N62*SUM('Taboa Dat. '!$O$5:$O$7))))</f>
        <v>#N/A</v>
      </c>
      <c r="Q62" s="37"/>
      <c r="R62" s="37" t="e">
        <f>+P62+N62-Q62</f>
        <v>#N/A</v>
      </c>
      <c r="T62" s="138"/>
    </row>
    <row r="63" spans="1:22" ht="15" customHeight="1">
      <c r="A63" s="7"/>
      <c r="B63" s="25"/>
      <c r="C63" s="25"/>
      <c r="D63" s="25"/>
      <c r="E63" s="212"/>
      <c r="F63" s="213"/>
      <c r="G63" s="213"/>
      <c r="H63" s="37">
        <f>+VLOOKUP(B63,'Taboa Dat. '!$A$3:$C$41,3)*12*G63*F63</f>
        <v>0</v>
      </c>
      <c r="I63" s="163"/>
      <c r="J63" s="37">
        <f>IF(I63="",0,+VLOOKUP(I63,'Taboa Dat. '!$H$13:$J$17,3)*12*F63*G63)</f>
        <v>0</v>
      </c>
      <c r="K63" s="37">
        <f t="shared" si="32"/>
        <v>0</v>
      </c>
      <c r="L63" s="37" t="e">
        <f>((+VLOOKUP(B63,'Taboa Dat. '!$A$4:D$41,4))*12*F63*G63)*2</f>
        <v>#N/A</v>
      </c>
      <c r="M63" s="37">
        <f>(+H63+K63+J63)*2/12</f>
        <v>0</v>
      </c>
      <c r="N63" s="37" t="e">
        <f t="shared" si="33"/>
        <v>#N/A</v>
      </c>
      <c r="O63" s="214"/>
      <c r="P63" s="37" t="e">
        <f>+IF(AND(OR(D63='Taboa Dat. '!$J$4,D63='Taboa Dat. '!$K$4,D63='Taboa Dat. '!$L$4,D63='Taboa Dat. '!$M$4,D63='Taboa Dat. '!$N$4),'Gastos de Persoal'!O63=""),'Gastos de Persoal'!N63*SUM('Taboa Dat. '!$J$5:$J$7),IF(AND(OR(D63='Taboa Dat. '!$J$4,'Taboa Dat. '!$K$4,'Taboa Dat. '!$L$4,'Taboa Dat. '!$M$4,'Taboa Dat. '!$N$4),'Gastos de Persoal'!O63="a"),'Gastos de Persoal'!N63*('Taboa Dat. '!$J$5+'Taboa Dat. '!$J$6+'Taboa Dat. '!$J$8),IF(AND(OR(D63='Taboa Dat. '!$J$4,'Taboa Dat. '!$K$4,'Taboa Dat. '!$L$4,'Taboa Dat. '!$M$4,'Taboa Dat. '!$N$4),'Gastos de Persoal'!O63="g"),'Gastos de Persoal'!N63*('Taboa Dat. '!$J$5+'Taboa Dat. '!$J$6+'Taboa Dat. '!$J$9),'Gastos de Persoal'!N63*SUM('Taboa Dat. '!$O$5:$O$7))))</f>
        <v>#N/A</v>
      </c>
      <c r="Q63" s="37"/>
      <c r="R63" s="37" t="e">
        <f>+P63+N63-Q63</f>
        <v>#N/A</v>
      </c>
    </row>
    <row r="64" spans="1:22" ht="15" customHeight="1">
      <c r="A64" s="7"/>
      <c r="B64" s="25"/>
      <c r="C64" s="25"/>
      <c r="D64" s="25"/>
      <c r="E64" s="212"/>
      <c r="F64" s="213"/>
      <c r="G64" s="289"/>
      <c r="H64" s="37">
        <f>+VLOOKUP(B64,'Taboa Dat. '!$A$3:$C$41,3)*12*G64*F64</f>
        <v>0</v>
      </c>
      <c r="I64" s="163"/>
      <c r="J64" s="37">
        <f>IF(I64="",0,+VLOOKUP(I64,'Taboa Dat. '!$H$13:$J$17,3)*12*G64*F64)</f>
        <v>0</v>
      </c>
      <c r="K64" s="37">
        <f t="shared" si="32"/>
        <v>0</v>
      </c>
      <c r="L64" s="37" t="e">
        <f>((+VLOOKUP(B64,'Taboa Dat. '!$A$4:D$41,4))*12*F64*G64)*2</f>
        <v>#N/A</v>
      </c>
      <c r="M64" s="37">
        <f t="shared" ref="M64" si="34">(+H64+K64+J64)*2/12</f>
        <v>0</v>
      </c>
      <c r="N64" s="37" t="e">
        <f t="shared" ref="N64" si="35">+H64+J64+K64+M64+L64</f>
        <v>#N/A</v>
      </c>
      <c r="O64" s="214"/>
      <c r="P64" s="37" t="e">
        <f>+IF(AND(OR(D64='Taboa Dat. '!$J$4,D64='Taboa Dat. '!$K$4,D64='Taboa Dat. '!$L$4,D64='Taboa Dat. '!$M$4,D64='Taboa Dat. '!$N$4),'Gastos de Persoal'!O64=""),'Gastos de Persoal'!N64*SUM('Taboa Dat. '!$J$5:$J$7),IF(AND(OR(D64='Taboa Dat. '!$J$4,'Taboa Dat. '!$K$4,'Taboa Dat. '!$L$4,'Taboa Dat. '!$M$4,'Taboa Dat. '!$N$4),'Gastos de Persoal'!O64="a"),'Gastos de Persoal'!N64*('Taboa Dat. '!$J$5+'Taboa Dat. '!$J$6+'Taboa Dat. '!$J$8),IF(AND(OR(D64='Taboa Dat. '!$J$4,'Taboa Dat. '!$K$4,'Taboa Dat. '!$L$4,'Taboa Dat. '!$M$4,'Taboa Dat. '!$N$4),'Gastos de Persoal'!O64="g"),'Gastos de Persoal'!N64*('Taboa Dat. '!$J$5+'Taboa Dat. '!$J$6+'Taboa Dat. '!$J$9),'Gastos de Persoal'!N64*SUM('Taboa Dat. '!$O$5:$O$7))))</f>
        <v>#N/A</v>
      </c>
      <c r="Q64" s="37"/>
      <c r="R64" s="37" t="e">
        <f t="shared" ref="R64" si="36">+P64+N64-Q64</f>
        <v>#N/A</v>
      </c>
      <c r="T64" s="138"/>
    </row>
    <row r="65" spans="1:20" ht="15" customHeight="1">
      <c r="A65" s="160" t="s">
        <v>264</v>
      </c>
      <c r="B65" s="222"/>
      <c r="C65" s="222"/>
      <c r="D65" s="222"/>
      <c r="E65" s="223"/>
      <c r="F65" s="223"/>
      <c r="G65" s="224"/>
      <c r="H65" s="37">
        <v>0</v>
      </c>
      <c r="I65" s="163"/>
      <c r="J65" s="37">
        <v>0</v>
      </c>
      <c r="K65" s="37">
        <f t="shared" si="32"/>
        <v>0</v>
      </c>
      <c r="L65" s="37" t="e">
        <f>((+VLOOKUP(B65,'Taboa Dat. '!$A$4:D$41,4))*12*F65*G65)*2</f>
        <v>#N/A</v>
      </c>
      <c r="M65" s="37">
        <v>0</v>
      </c>
      <c r="N65" s="37" t="e">
        <f t="shared" si="33"/>
        <v>#N/A</v>
      </c>
      <c r="O65" s="214"/>
      <c r="P65" s="37" t="e">
        <f>+IF(AND(OR(D65='Taboa Dat. '!$J$4,D65='Taboa Dat. '!$K$4,D65='Taboa Dat. '!$L$4,D65='Taboa Dat. '!$M$4,D65='Taboa Dat. '!$N$4),'Gastos de Persoal'!O65=""),'Gastos de Persoal'!N65*SUM('Taboa Dat. '!$J$5:$J$7),IF(AND(OR(D65='Taboa Dat. '!$J$4,'Taboa Dat. '!$K$4,'Taboa Dat. '!$L$4,'Taboa Dat. '!$M$4,'Taboa Dat. '!$N$4),'Gastos de Persoal'!O65="a"),'Gastos de Persoal'!N65*('Taboa Dat. '!$J$5+'Taboa Dat. '!$J$6+'Taboa Dat. '!$J$8),IF(AND(OR(D65='Taboa Dat. '!$J$4,'Taboa Dat. '!$K$4,'Taboa Dat. '!$L$4,'Taboa Dat. '!$M$4,'Taboa Dat. '!$N$4),'Gastos de Persoal'!O65="g"),'Gastos de Persoal'!N65*('Taboa Dat. '!$J$5+'Taboa Dat. '!$J$6+'Taboa Dat. '!$J$9),'Gastos de Persoal'!N65*SUM('Taboa Dat. '!$O$5:$O$7))))</f>
        <v>#N/A</v>
      </c>
      <c r="Q65" s="37"/>
      <c r="R65" s="37" t="e">
        <f t="shared" ref="R65" si="37">+P65+N65-Q65</f>
        <v>#N/A</v>
      </c>
      <c r="S65" s="138"/>
      <c r="T65" s="138"/>
    </row>
    <row r="66" spans="1:20" ht="14.25" customHeight="1">
      <c r="A66" s="227" t="s">
        <v>260</v>
      </c>
      <c r="B66" s="227"/>
      <c r="C66" s="227"/>
      <c r="D66" s="227"/>
      <c r="E66" s="227"/>
      <c r="F66" s="227"/>
      <c r="G66" s="227"/>
      <c r="H66" s="38">
        <f>SUM(H49:H65)</f>
        <v>0</v>
      </c>
      <c r="I66" s="38"/>
      <c r="J66" s="38">
        <f>SUM(J49:J65)</f>
        <v>0</v>
      </c>
      <c r="K66" s="38">
        <f>SUM(K49:K65)</f>
        <v>0</v>
      </c>
      <c r="L66" s="38" t="e">
        <f>SUM(L49:L65)</f>
        <v>#N/A</v>
      </c>
      <c r="M66" s="38">
        <f>SUM(M49:M65)</f>
        <v>0</v>
      </c>
      <c r="N66" s="38" t="e">
        <f>SUM(N49:N65)</f>
        <v>#N/A</v>
      </c>
      <c r="O66" s="38">
        <f t="shared" ref="O66" si="38">SUM(O49:O65)</f>
        <v>0</v>
      </c>
      <c r="P66" s="38" t="e">
        <f>SUM(P49:P65)</f>
        <v>#N/A</v>
      </c>
      <c r="Q66" s="38">
        <f>SUM(Q49:Q65)</f>
        <v>0</v>
      </c>
      <c r="R66" s="38" t="e">
        <f>SUM(R49:R65)</f>
        <v>#N/A</v>
      </c>
    </row>
    <row r="67" spans="1:20" ht="10.5" customHeight="1">
      <c r="A67" s="227"/>
      <c r="B67" s="227"/>
      <c r="C67" s="227"/>
      <c r="D67" s="227"/>
      <c r="E67" s="227"/>
      <c r="F67" s="227"/>
      <c r="G67" s="227"/>
      <c r="H67" s="38"/>
      <c r="I67" s="268"/>
      <c r="J67" s="38"/>
      <c r="K67" s="38"/>
      <c r="L67" s="38"/>
      <c r="M67" s="38"/>
      <c r="N67" s="38"/>
      <c r="O67" s="228"/>
      <c r="P67" s="38"/>
      <c r="Q67" s="38"/>
      <c r="R67" s="38"/>
    </row>
    <row r="68" spans="1:20" ht="25.5" customHeight="1">
      <c r="A68" s="229" t="s">
        <v>265</v>
      </c>
      <c r="B68" s="230"/>
      <c r="C68" s="230"/>
      <c r="D68" s="48"/>
      <c r="E68" s="48"/>
      <c r="F68" s="48"/>
      <c r="G68" s="48"/>
      <c r="R68" s="11"/>
    </row>
    <row r="69" spans="1:20" ht="15" customHeight="1">
      <c r="A69" s="48" t="s">
        <v>240</v>
      </c>
      <c r="B69" s="48"/>
      <c r="C69" s="48"/>
      <c r="D69" s="48"/>
      <c r="E69" s="48"/>
      <c r="F69" s="48"/>
      <c r="G69" s="48"/>
      <c r="R69" s="11"/>
    </row>
    <row r="70" spans="1:20" ht="10.5" customHeight="1"/>
    <row r="71" spans="1:20" ht="24.75" customHeight="1">
      <c r="A71" s="8" t="s">
        <v>241</v>
      </c>
      <c r="B71" s="8"/>
      <c r="C71" s="8"/>
      <c r="D71" s="8"/>
      <c r="E71" s="8"/>
      <c r="F71" s="8"/>
      <c r="G71" s="8"/>
      <c r="H71" s="8" t="s">
        <v>247</v>
      </c>
      <c r="I71" s="265"/>
      <c r="J71" s="8" t="s">
        <v>248</v>
      </c>
      <c r="K71" s="209" t="s">
        <v>249</v>
      </c>
      <c r="L71" s="209" t="s">
        <v>250</v>
      </c>
      <c r="M71" s="8" t="s">
        <v>251</v>
      </c>
      <c r="N71" s="8" t="s">
        <v>252</v>
      </c>
      <c r="O71" s="8"/>
      <c r="P71" s="9" t="s">
        <v>254</v>
      </c>
      <c r="Q71" s="211" t="s">
        <v>255</v>
      </c>
      <c r="R71" s="9" t="s">
        <v>256</v>
      </c>
    </row>
    <row r="72" spans="1:20" ht="15" customHeight="1">
      <c r="A72" s="7"/>
      <c r="B72" s="25"/>
      <c r="C72" s="25"/>
      <c r="D72" s="25"/>
      <c r="E72" s="212"/>
      <c r="F72" s="213"/>
      <c r="G72" s="213"/>
      <c r="H72" s="37" t="e">
        <f>+VLOOKUP(B72,'Taboa Dat. '!$A$4:$C$41,3)*12*G72*F72</f>
        <v>#N/A</v>
      </c>
      <c r="I72" s="266"/>
      <c r="J72" s="37">
        <f>IF(I72="",0,+VLOOKUP(I72,'Taboa Dat. '!$H$13:$J$17,3)*12*F72*G72)</f>
        <v>0</v>
      </c>
      <c r="K72" s="37">
        <f>490.96*12*G72*F72</f>
        <v>0</v>
      </c>
      <c r="L72" s="37" t="e">
        <f>(+VLOOKUP(B72,'Taboa Dat. '!$A$4:D$41,4)*12*F72*G72)*2</f>
        <v>#N/A</v>
      </c>
      <c r="M72" s="37" t="e">
        <f t="shared" ref="M72:M73" si="39">(+H72+K72+J72)*2/12</f>
        <v>#N/A</v>
      </c>
      <c r="N72" s="37" t="e">
        <f t="shared" ref="N72:N73" si="40">+H72+J72+K72+M72+L72</f>
        <v>#N/A</v>
      </c>
      <c r="O72" s="214"/>
      <c r="P72" s="37" t="e">
        <f>+IF(AND(OR(D72='Taboa Dat. '!$J$4,D72='Taboa Dat. '!$K$4,D72='Taboa Dat. '!$L$4,D72='Taboa Dat. '!$M$4,D72='Taboa Dat. '!$N$4),'Gastos de Persoal'!O72=""),'Gastos de Persoal'!N72*SUM('Taboa Dat. '!$J$5:$J$7),IF(AND(OR(D72='Taboa Dat. '!$J$4,'Taboa Dat. '!$K$4,'Taboa Dat. '!$L$4,'Taboa Dat. '!$M$4,'Taboa Dat. '!$N$4),'Gastos de Persoal'!O72="a"),'Gastos de Persoal'!N72*('Taboa Dat. '!$J$5+'Taboa Dat. '!$J$6+'Taboa Dat. '!$J$8),IF(AND(OR(D72='Taboa Dat. '!$J$4,'Taboa Dat. '!$K$4,'Taboa Dat. '!$L$4,'Taboa Dat. '!$M$4,'Taboa Dat. '!$N$4),'Gastos de Persoal'!O72="g"),'Gastos de Persoal'!N72*('Taboa Dat. '!$J$5+'Taboa Dat. '!$J$6+'Taboa Dat. '!$J$9),'Gastos de Persoal'!N72*SUM('Taboa Dat. '!$O$5:$O$7))))</f>
        <v>#N/A</v>
      </c>
      <c r="Q72" s="37"/>
      <c r="R72" s="37" t="e">
        <f t="shared" ref="R72:R73" si="41">+P72+N72-Q72</f>
        <v>#N/A</v>
      </c>
    </row>
    <row r="73" spans="1:20" ht="15" customHeight="1">
      <c r="A73" s="159"/>
      <c r="B73" s="215"/>
      <c r="C73" s="25"/>
      <c r="D73" s="25"/>
      <c r="E73" s="212"/>
      <c r="F73" s="213"/>
      <c r="G73" s="213"/>
      <c r="H73" s="37" t="e">
        <f>+VLOOKUP(B73,'Taboa Dat. '!$A$4:$C$41,3)*12*G73*F73</f>
        <v>#N/A</v>
      </c>
      <c r="I73" s="266"/>
      <c r="J73" s="37">
        <f>IF(I73="",0,+VLOOKUP(I73,'Taboa Dat. '!$H$13:$J$17,3)*12*F73*G73)</f>
        <v>0</v>
      </c>
      <c r="K73" s="37">
        <f>178.96*12*G73*F73</f>
        <v>0</v>
      </c>
      <c r="L73" s="37" t="e">
        <f>(+VLOOKUP(B73,'Taboa Dat. '!$A$4:D$41,4)*12*F73*G73)*2</f>
        <v>#N/A</v>
      </c>
      <c r="M73" s="37" t="e">
        <f t="shared" si="39"/>
        <v>#N/A</v>
      </c>
      <c r="N73" s="37" t="e">
        <f t="shared" si="40"/>
        <v>#N/A</v>
      </c>
      <c r="O73" s="214"/>
      <c r="P73" s="37" t="e">
        <f>+IF(AND(OR(D73='Taboa Dat. '!$J$4,D73='Taboa Dat. '!$K$4,D73='Taboa Dat. '!$L$4,D73='Taboa Dat. '!$M$4,D73='Taboa Dat. '!$N$4),'Gastos de Persoal'!O73=""),'Gastos de Persoal'!N73*SUM('Taboa Dat. '!$J$5:$J$7),IF(AND(OR(D73='Taboa Dat. '!$J$4,'Taboa Dat. '!$K$4,'Taboa Dat. '!$L$4,'Taboa Dat. '!$M$4,'Taboa Dat. '!$N$4),'Gastos de Persoal'!O73="a"),'Gastos de Persoal'!N73*('Taboa Dat. '!$J$5+'Taboa Dat. '!$J$6+'Taboa Dat. '!$J$8),IF(AND(OR(D73='Taboa Dat. '!$J$4,'Taboa Dat. '!$K$4,'Taboa Dat. '!$L$4,'Taboa Dat. '!$M$4,'Taboa Dat. '!$N$4),'Gastos de Persoal'!O73="g"),'Gastos de Persoal'!N73*('Taboa Dat. '!$J$5+'Taboa Dat. '!$J$6+'Taboa Dat. '!$J$9),'Gastos de Persoal'!N73*SUM('Taboa Dat. '!$O$5:$O$7))))</f>
        <v>#N/A</v>
      </c>
      <c r="Q73" s="37"/>
      <c r="R73" s="37" t="e">
        <f t="shared" si="41"/>
        <v>#N/A</v>
      </c>
    </row>
    <row r="74" spans="1:20" ht="15" customHeight="1">
      <c r="A74" s="159"/>
      <c r="B74" s="215"/>
      <c r="C74" s="25"/>
      <c r="D74" s="25"/>
      <c r="E74" s="212"/>
      <c r="F74" s="213"/>
      <c r="G74" s="213"/>
      <c r="H74" s="37" t="e">
        <f>+VLOOKUP(B74,'Taboa Dat. '!$A$4:$C$41,3)*12*G74*F74</f>
        <v>#N/A</v>
      </c>
      <c r="I74" s="163"/>
      <c r="J74" s="37">
        <f>IF(I74="",0,+VLOOKUP(I74,'Taboa Dat. '!$H$13:$J$17,3)*12*F74*G74)</f>
        <v>0</v>
      </c>
      <c r="K74" s="37">
        <f>39.02*12*G74*F74</f>
        <v>0</v>
      </c>
      <c r="L74" s="37" t="e">
        <f>(+VLOOKUP(B74,'Taboa Dat. '!$A$4:D$41,4)*12*F74*G74)*2</f>
        <v>#N/A</v>
      </c>
      <c r="M74" s="37" t="e">
        <f>(+H74+K74+J74)*2/12</f>
        <v>#N/A</v>
      </c>
      <c r="N74" s="37" t="e">
        <f t="shared" ref="N74:N88" si="42">+H74+J74+K74+M74+L74</f>
        <v>#N/A</v>
      </c>
      <c r="O74" s="214"/>
      <c r="P74" s="37" t="e">
        <f>+IF(AND(OR(D74='Taboa Dat. '!$J$4,D74='Taboa Dat. '!$K$4,D74='Taboa Dat. '!$L$4,D74='Taboa Dat. '!$M$4,D74='Taboa Dat. '!$N$4),'Gastos de Persoal'!O74=""),'Gastos de Persoal'!N74*SUM('Taboa Dat. '!$J$5:$J$7),IF(AND(OR(D74='Taboa Dat. '!$J$4,'Taboa Dat. '!$K$4,'Taboa Dat. '!$L$4,'Taboa Dat. '!$M$4,'Taboa Dat. '!$N$4),'Gastos de Persoal'!O74="a"),'Gastos de Persoal'!N74*('Taboa Dat. '!$J$5+'Taboa Dat. '!$J$6+'Taboa Dat. '!$J$8),IF(AND(OR(D74='Taboa Dat. '!$J$4,'Taboa Dat. '!$K$4,'Taboa Dat. '!$L$4,'Taboa Dat. '!$M$4,'Taboa Dat. '!$N$4),'Gastos de Persoal'!O74="g"),'Gastos de Persoal'!N74*('Taboa Dat. '!$J$5+'Taboa Dat. '!$J$6+'Taboa Dat. '!$J$9),'Gastos de Persoal'!N74*SUM('Taboa Dat. '!$O$5:$O$7))))</f>
        <v>#N/A</v>
      </c>
      <c r="Q74" s="37"/>
      <c r="R74" s="37" t="e">
        <f>+P74+N74-Q74</f>
        <v>#N/A</v>
      </c>
    </row>
    <row r="75" spans="1:20" ht="15" customHeight="1">
      <c r="A75" s="7"/>
      <c r="B75" s="25"/>
      <c r="C75" s="25"/>
      <c r="D75" s="25"/>
      <c r="E75" s="212"/>
      <c r="F75" s="213"/>
      <c r="G75" s="213"/>
      <c r="H75" s="37" t="e">
        <f>((+VLOOKUP(B75,'Taboa Dat. '!$A$4:$C$41,3))+215.839)*12*G75*F75</f>
        <v>#N/A</v>
      </c>
      <c r="I75" s="266"/>
      <c r="J75" s="37">
        <f>IF(I75="",0,+VLOOKUP(I75,'Taboa Dat. '!$H$13:$J$18,3)*12*F75)</f>
        <v>0</v>
      </c>
      <c r="K75" s="37">
        <f>38.81*12*G75*F75</f>
        <v>0</v>
      </c>
      <c r="L75" s="37" t="e">
        <f>((+VLOOKUP(B75,'Taboa Dat. '!$A$4:D$41,4)+7.99)*12*F75*G75)*2</f>
        <v>#N/A</v>
      </c>
      <c r="M75" s="37" t="e">
        <f t="shared" ref="M75" si="43">(+H75+K75+J75)*2/12</f>
        <v>#N/A</v>
      </c>
      <c r="N75" s="37" t="e">
        <f t="shared" si="42"/>
        <v>#N/A</v>
      </c>
      <c r="O75" s="214"/>
      <c r="P75" s="37" t="e">
        <f>+IF(AND(OR(D75='Taboa Dat. '!$J$4,D75='Taboa Dat. '!$K$4,D75='Taboa Dat. '!$L$4,D75='Taboa Dat. '!$M$4,D75='Taboa Dat. '!$N$4),'Gastos de Persoal'!O75=""),'Gastos de Persoal'!N75*SUM('Taboa Dat. '!$J$5:$J$7),IF(AND(OR(D75='Taboa Dat. '!$J$4,'Taboa Dat. '!$K$4,'Taboa Dat. '!$L$4,'Taboa Dat. '!$M$4,'Taboa Dat. '!$N$4),'Gastos de Persoal'!O75="a"),'Gastos de Persoal'!N75*('Taboa Dat. '!$J$5+'Taboa Dat. '!$J$6+'Taboa Dat. '!$J$8),IF(AND(OR(D75='Taboa Dat. '!$J$4,'Taboa Dat. '!$K$4,'Taboa Dat. '!$L$4,'Taboa Dat. '!$M$4,'Taboa Dat. '!$N$4),'Gastos de Persoal'!O75="g"),'Gastos de Persoal'!N75*('Taboa Dat. '!$J$5+'Taboa Dat. '!$J$6+'Taboa Dat. '!$J$9),'Gastos de Persoal'!N75*SUM('Taboa Dat. '!$O$5:$O$7))))</f>
        <v>#N/A</v>
      </c>
      <c r="Q75" s="37"/>
      <c r="R75" s="37" t="e">
        <f t="shared" ref="R75:R88" si="44">+P75+N75-Q75</f>
        <v>#N/A</v>
      </c>
    </row>
    <row r="76" spans="1:20" ht="15" customHeight="1">
      <c r="A76" s="7"/>
      <c r="B76" s="25"/>
      <c r="C76" s="25"/>
      <c r="D76" s="25"/>
      <c r="E76" s="212"/>
      <c r="F76" s="213"/>
      <c r="G76" s="213"/>
      <c r="H76" s="37" t="e">
        <f>(+VLOOKUP(B76,'Taboa Dat. '!$A$4:$C$41,3)+140.225)*12*G76*F76</f>
        <v>#N/A</v>
      </c>
      <c r="I76" s="163"/>
      <c r="J76" s="37">
        <f>IF(I76="",0,+VLOOKUP(I76,'Taboa Dat. '!$H$13:$J$18,3)*12*F76*G76)</f>
        <v>0</v>
      </c>
      <c r="K76" s="37">
        <f>39.93*12*G76*F76</f>
        <v>0</v>
      </c>
      <c r="L76" s="37" t="e">
        <f>((+VLOOKUP(B76,'Taboa Dat. '!$A$4:D$41,4)+5.195)*12*F76*G76)*2</f>
        <v>#N/A</v>
      </c>
      <c r="M76" s="37" t="e">
        <f t="shared" ref="M76:M77" si="45">(+H76+K76)*2/12</f>
        <v>#N/A</v>
      </c>
      <c r="N76" s="37" t="e">
        <f t="shared" si="42"/>
        <v>#N/A</v>
      </c>
      <c r="O76" s="214"/>
      <c r="P76" s="37" t="e">
        <f>+IF(AND(OR(D76='Taboa Dat. '!$J$4,D76='Taboa Dat. '!$K$4,D76='Taboa Dat. '!$L$4,D76='Taboa Dat. '!$M$4,D76='Taboa Dat. '!$N$4),'Gastos de Persoal'!O76=""),'Gastos de Persoal'!N76*SUM('Taboa Dat. '!$J$5:$J$7),IF(AND(OR(D76='Taboa Dat. '!$J$4,'Taboa Dat. '!$K$4,'Taboa Dat. '!$L$4,'Taboa Dat. '!$M$4,'Taboa Dat. '!$N$4),'Gastos de Persoal'!O76="a"),'Gastos de Persoal'!N76*('Taboa Dat. '!$J$5+'Taboa Dat. '!$J$6+'Taboa Dat. '!$J$8),IF(AND(OR(D76='Taboa Dat. '!$J$4,'Taboa Dat. '!$K$4,'Taboa Dat. '!$L$4,'Taboa Dat. '!$M$4,'Taboa Dat. '!$N$4),'Gastos de Persoal'!O76="g"),'Gastos de Persoal'!N76*('Taboa Dat. '!$J$5+'Taboa Dat. '!$J$6+'Taboa Dat. '!$J$9),'Gastos de Persoal'!N76*SUM('Taboa Dat. '!$O$5:$O$7))))</f>
        <v>#N/A</v>
      </c>
      <c r="Q76" s="37"/>
      <c r="R76" s="37" t="e">
        <f t="shared" si="44"/>
        <v>#N/A</v>
      </c>
    </row>
    <row r="77" spans="1:20" ht="15" customHeight="1">
      <c r="A77" s="7"/>
      <c r="B77" s="25"/>
      <c r="C77" s="25"/>
      <c r="D77" s="25"/>
      <c r="E77" s="212"/>
      <c r="F77" s="213"/>
      <c r="G77" s="289"/>
      <c r="H77" s="37" t="e">
        <f>(+VLOOKUP(B77,'Taboa Dat. '!$A$4:$C$41,3)+338.87)*12*G77*F77</f>
        <v>#N/A</v>
      </c>
      <c r="I77" s="163"/>
      <c r="J77" s="37">
        <f>IF(I77="",0,+VLOOKUP(I77,'Taboa Dat. '!$H$13:$J$18,3)*12*F77*G77)</f>
        <v>0</v>
      </c>
      <c r="K77" s="37">
        <f>0*(1+$R$2)*0</f>
        <v>0</v>
      </c>
      <c r="L77" s="37" t="e">
        <f>((+VLOOKUP(B77,'Taboa Dat. '!$A$4:D$41,4)+12.54)*12*F77*G77)*2</f>
        <v>#N/A</v>
      </c>
      <c r="M77" s="37" t="e">
        <f t="shared" si="45"/>
        <v>#N/A</v>
      </c>
      <c r="N77" s="37" t="e">
        <f t="shared" si="42"/>
        <v>#N/A</v>
      </c>
      <c r="O77" s="214"/>
      <c r="P77" s="37" t="e">
        <f>+IF(AND(OR(D77='Taboa Dat. '!$J$4,D77='Taboa Dat. '!$K$4,D77='Taboa Dat. '!$L$4,D77='Taboa Dat. '!$M$4,D77='Taboa Dat. '!$N$4),'Gastos de Persoal'!O77=""),'Gastos de Persoal'!N77*SUM('Taboa Dat. '!$J$5:$J$7),IF(AND(OR(D77='Taboa Dat. '!$J$4,'Taboa Dat. '!$K$4,'Taboa Dat. '!$L$4,'Taboa Dat. '!$M$4,'Taboa Dat. '!$N$4),'Gastos de Persoal'!O77="a"),'Gastos de Persoal'!N77*('Taboa Dat. '!$J$5+'Taboa Dat. '!$J$6+'Taboa Dat. '!$J$8),IF(AND(OR(D77='Taboa Dat. '!$J$4,'Taboa Dat. '!$K$4,'Taboa Dat. '!$L$4,'Taboa Dat. '!$M$4,'Taboa Dat. '!$N$4),'Gastos de Persoal'!O77="g"),'Gastos de Persoal'!N77*('Taboa Dat. '!$J$5+'Taboa Dat. '!$J$6+'Taboa Dat. '!$J$9),'Gastos de Persoal'!N77*SUM('Taboa Dat. '!$O$5:$O$7))))</f>
        <v>#N/A</v>
      </c>
      <c r="Q77" s="37"/>
      <c r="R77" s="37" t="e">
        <f t="shared" si="44"/>
        <v>#N/A</v>
      </c>
    </row>
    <row r="78" spans="1:20" ht="15" customHeight="1">
      <c r="A78" s="7"/>
      <c r="B78" s="25"/>
      <c r="C78" s="25"/>
      <c r="D78" s="25"/>
      <c r="E78" s="212"/>
      <c r="F78" s="213"/>
      <c r="G78" s="289"/>
      <c r="H78" s="37" t="e">
        <f>(+VLOOKUP(B78,'Taboa Dat. '!$A$4:$C$41,3))*12*G78*F78</f>
        <v>#N/A</v>
      </c>
      <c r="I78" s="163">
        <v>6</v>
      </c>
      <c r="J78" s="37">
        <f>(IF(I78="",0,+VLOOKUP(I78,'Taboa Dat. '!$H$13:$J$18,3)*12*F78*G78))*2</f>
        <v>0</v>
      </c>
      <c r="K78" s="37">
        <f>0*(1+$R$2)*0</f>
        <v>0</v>
      </c>
      <c r="L78" s="37" t="e">
        <f>((+VLOOKUP(B78,'Taboa Dat. '!$A$4:D$41,4)+12.54)*12*F78*G78)*2</f>
        <v>#N/A</v>
      </c>
      <c r="M78" s="37" t="e">
        <f t="shared" ref="M78" si="46">(+H78+K78)*2/12</f>
        <v>#N/A</v>
      </c>
      <c r="N78" s="37" t="e">
        <f t="shared" ref="N78:N81" si="47">+H78+J78+K78+M78+L78</f>
        <v>#N/A</v>
      </c>
      <c r="O78" s="214"/>
      <c r="P78" s="37" t="e">
        <f>+IF(AND(OR(D78='Taboa Dat. '!$J$4,D78='Taboa Dat. '!$K$4,D78='Taboa Dat. '!$L$4,D78='Taboa Dat. '!$M$4,D78='Taboa Dat. '!$N$4),'Gastos de Persoal'!O78=""),'Gastos de Persoal'!N78*SUM('Taboa Dat. '!$J$5:$J$7),IF(AND(OR(D78='Taboa Dat. '!$J$4,'Taboa Dat. '!$K$4,'Taboa Dat. '!$L$4,'Taboa Dat. '!$M$4,'Taboa Dat. '!$N$4),'Gastos de Persoal'!O78="a"),'Gastos de Persoal'!N78*('Taboa Dat. '!$J$5+'Taboa Dat. '!$J$6+'Taboa Dat. '!$J$8),IF(AND(OR(D78='Taboa Dat. '!$J$4,'Taboa Dat. '!$K$4,'Taboa Dat. '!$L$4,'Taboa Dat. '!$M$4,'Taboa Dat. '!$N$4),'Gastos de Persoal'!O78="g"),'Gastos de Persoal'!N78*('Taboa Dat. '!$J$5+'Taboa Dat. '!$J$6+'Taboa Dat. '!$J$9),'Gastos de Persoal'!N78*SUM('Taboa Dat. '!$O$5:$O$7))))</f>
        <v>#N/A</v>
      </c>
      <c r="Q78" s="37"/>
      <c r="R78" s="37" t="e">
        <f t="shared" ref="R78:R81" si="48">+P78+N78-Q78</f>
        <v>#N/A</v>
      </c>
    </row>
    <row r="79" spans="1:20" ht="15" customHeight="1">
      <c r="A79" s="7"/>
      <c r="B79" s="25"/>
      <c r="C79" s="25"/>
      <c r="D79" s="25"/>
      <c r="E79" s="212"/>
      <c r="F79" s="213"/>
      <c r="G79" s="213"/>
      <c r="H79" s="37" t="e">
        <f>(+VLOOKUP(B79,'Taboa Dat. '!$A$4:$C$41,3)+1121.83)*12*G79*F79</f>
        <v>#N/A</v>
      </c>
      <c r="I79" s="163"/>
      <c r="J79" s="37">
        <f>(IF(I79="",0,+VLOOKUP(I79,'Taboa Dat. '!$H$13:$J$18,3)*12*F79*G79))*2</f>
        <v>0</v>
      </c>
      <c r="K79" s="37">
        <f>0*(1+$R$2)*0</f>
        <v>0</v>
      </c>
      <c r="L79" s="37" t="e">
        <f>((+VLOOKUP(B79,'Taboa Dat. '!$A$4:D$41,4)+12.54)*12*F79*G79)*2</f>
        <v>#N/A</v>
      </c>
      <c r="M79" s="37" t="e">
        <f t="shared" ref="M79" si="49">(+H79+K79)*2/12</f>
        <v>#N/A</v>
      </c>
      <c r="N79" s="37" t="e">
        <f t="shared" ref="N79" si="50">+H79+J79+K79+M79+L79</f>
        <v>#N/A</v>
      </c>
      <c r="O79" s="214"/>
      <c r="P79" s="37" t="e">
        <f>+IF(AND(OR(D79='Taboa Dat. '!$J$4,D79='Taboa Dat. '!$K$4,D79='Taboa Dat. '!$L$4,D79='Taboa Dat. '!$M$4,D79='Taboa Dat. '!$N$4),'Gastos de Persoal'!O79=""),'Gastos de Persoal'!N79*SUM('Taboa Dat. '!$J$5:$J$7),IF(AND(OR(D79='Taboa Dat. '!$J$4,'Taboa Dat. '!$K$4,'Taboa Dat. '!$L$4,'Taboa Dat. '!$M$4,'Taboa Dat. '!$N$4),'Gastos de Persoal'!O79="a"),'Gastos de Persoal'!N79*('Taboa Dat. '!$J$5+'Taboa Dat. '!$J$6+'Taboa Dat. '!$J$8),IF(AND(OR(D79='Taboa Dat. '!$J$4,'Taboa Dat. '!$K$4,'Taboa Dat. '!$L$4,'Taboa Dat. '!$M$4,'Taboa Dat. '!$N$4),'Gastos de Persoal'!O79="g"),'Gastos de Persoal'!N79*('Taboa Dat. '!$J$5+'Taboa Dat. '!$J$6+'Taboa Dat. '!$J$9),'Gastos de Persoal'!N79*SUM('Taboa Dat. '!$O$5:$O$7))))</f>
        <v>#N/A</v>
      </c>
      <c r="Q79" s="37"/>
      <c r="R79" s="37" t="e">
        <f t="shared" ref="R79" si="51">+P79+N79-Q79</f>
        <v>#N/A</v>
      </c>
    </row>
    <row r="80" spans="1:20" ht="15" customHeight="1">
      <c r="A80" s="257"/>
      <c r="B80" s="250"/>
      <c r="C80" s="251"/>
      <c r="D80" s="251"/>
      <c r="E80" s="252"/>
      <c r="F80" s="253"/>
      <c r="G80" s="253"/>
      <c r="H80" s="255" t="e">
        <f>(+VLOOKUP(B80,'Taboa Dat. '!$A$4:$C$41,3))*11*G80*F80</f>
        <v>#N/A</v>
      </c>
      <c r="I80" s="270"/>
      <c r="J80" s="255">
        <f>IF(I80="",0,+VLOOKUP(I80,'Taboa Dat. '!$H$13:$J$17,3)*12*F80*G80)</f>
        <v>0</v>
      </c>
      <c r="K80" s="255">
        <f t="shared" ref="K80:K81" si="52">0*12*G80*F80</f>
        <v>0</v>
      </c>
      <c r="L80" s="255">
        <v>0</v>
      </c>
      <c r="M80" s="255" t="e">
        <f t="shared" ref="M80:M81" si="53">(+H80+K80+J80)*2/12</f>
        <v>#N/A</v>
      </c>
      <c r="N80" s="255" t="e">
        <f t="shared" si="47"/>
        <v>#N/A</v>
      </c>
      <c r="O80" s="256"/>
      <c r="P80" s="255" t="e">
        <f>+IF(AND(OR(D80='Taboa Dat. '!$J$4,D80='Taboa Dat. '!$K$4,D80='Taboa Dat. '!$L$4,D80='Taboa Dat. '!$M$4,D80='Taboa Dat. '!$N$4),'Gastos de Persoal'!O80=""),'Gastos de Persoal'!N80*SUM('Taboa Dat. '!$J$5:$J$7),IF(AND(OR(D80='Taboa Dat. '!$J$4,'Taboa Dat. '!$K$4,'Taboa Dat. '!$L$4,'Taboa Dat. '!$M$4,'Taboa Dat. '!$N$4),'Gastos de Persoal'!O80="a"),'Gastos de Persoal'!N80*('Taboa Dat. '!$J$5+'Taboa Dat. '!$J$6+'Taboa Dat. '!$J$8),IF(AND(OR(D80='Taboa Dat. '!$J$4,'Taboa Dat. '!$K$4,'Taboa Dat. '!$L$4,'Taboa Dat. '!$M$4,'Taboa Dat. '!$N$4),'Gastos de Persoal'!O80="g"),'Gastos de Persoal'!N80*('Taboa Dat. '!$J$5+'Taboa Dat. '!$J$6+'Taboa Dat. '!$J$9),'Gastos de Persoal'!N80*SUM('Taboa Dat. '!$O$5:$O$7))))</f>
        <v>#N/A</v>
      </c>
      <c r="Q80" s="255"/>
      <c r="R80" s="255" t="e">
        <f t="shared" si="48"/>
        <v>#N/A</v>
      </c>
      <c r="S80" s="255">
        <f>911.49/30*12*F80</f>
        <v>0</v>
      </c>
    </row>
    <row r="81" spans="1:21" ht="15" customHeight="1">
      <c r="A81" s="257"/>
      <c r="B81" s="250"/>
      <c r="C81" s="251"/>
      <c r="D81" s="251"/>
      <c r="E81" s="252"/>
      <c r="F81" s="253"/>
      <c r="G81" s="253"/>
      <c r="H81" s="255" t="e">
        <f>(+VLOOKUP(B81,'Taboa Dat. '!$A$4:$C$41,3))*11*G81*F81</f>
        <v>#N/A</v>
      </c>
      <c r="I81" s="270"/>
      <c r="J81" s="255">
        <f>IF(I81="",0,+VLOOKUP(I81,'Taboa Dat. '!$H$13:$J$17,3)*12*F81*G81)</f>
        <v>0</v>
      </c>
      <c r="K81" s="255">
        <f t="shared" si="52"/>
        <v>0</v>
      </c>
      <c r="L81" s="255">
        <v>0</v>
      </c>
      <c r="M81" s="255" t="e">
        <f t="shared" si="53"/>
        <v>#N/A</v>
      </c>
      <c r="N81" s="255" t="e">
        <f t="shared" si="47"/>
        <v>#N/A</v>
      </c>
      <c r="O81" s="256"/>
      <c r="P81" s="255" t="e">
        <f>+IF(AND(OR(D81='Taboa Dat. '!$J$4,D81='Taboa Dat. '!$K$4,D81='Taboa Dat. '!$L$4,D81='Taboa Dat. '!$M$4,D81='Taboa Dat. '!$N$4),'Gastos de Persoal'!O81=""),'Gastos de Persoal'!N81*SUM('Taboa Dat. '!$J$5:$J$7),IF(AND(OR(D81='Taboa Dat. '!$J$4,'Taboa Dat. '!$K$4,'Taboa Dat. '!$L$4,'Taboa Dat. '!$M$4,'Taboa Dat. '!$N$4),'Gastos de Persoal'!O81="a"),'Gastos de Persoal'!N81*('Taboa Dat. '!$J$5+'Taboa Dat. '!$J$6+'Taboa Dat. '!$J$8),IF(AND(OR(D81='Taboa Dat. '!$J$4,'Taboa Dat. '!$K$4,'Taboa Dat. '!$L$4,'Taboa Dat. '!$M$4,'Taboa Dat. '!$N$4),'Gastos de Persoal'!O81="g"),'Gastos de Persoal'!N81*('Taboa Dat. '!$J$5+'Taboa Dat. '!$J$6+'Taboa Dat. '!$J$9),'Gastos de Persoal'!N81*SUM('Taboa Dat. '!$O$5:$O$7))))</f>
        <v>#N/A</v>
      </c>
      <c r="Q81" s="255"/>
      <c r="R81" s="255" t="e">
        <f t="shared" si="48"/>
        <v>#N/A</v>
      </c>
      <c r="S81" s="255">
        <f>1157.29/30*12*F81</f>
        <v>0</v>
      </c>
    </row>
    <row r="82" spans="1:21" ht="15" customHeight="1">
      <c r="A82" s="258"/>
      <c r="B82" s="259"/>
      <c r="C82" s="259"/>
      <c r="D82" s="259"/>
      <c r="E82" s="260"/>
      <c r="F82" s="216"/>
      <c r="G82" s="216"/>
      <c r="H82" s="261" t="e">
        <f>(+VLOOKUP(B82,'Taboa Dat. '!$A$4:$C$41,3))*4*G82*F82</f>
        <v>#N/A</v>
      </c>
      <c r="I82" s="269"/>
      <c r="J82" s="261">
        <f>IF(I82="",0,+VLOOKUP(I82,'Taboa Dat. '!$H$13:$J$17,3)*12*F82*G82)</f>
        <v>0</v>
      </c>
      <c r="K82" s="261">
        <f>0*12*G82*F82</f>
        <v>0</v>
      </c>
      <c r="L82" s="261">
        <v>0</v>
      </c>
      <c r="M82" s="261" t="e">
        <f t="shared" ref="M82:M86" si="54">(+H82+K82+J82)*2/12</f>
        <v>#N/A</v>
      </c>
      <c r="N82" s="261" t="e">
        <f t="shared" ref="N82:N86" si="55">+H82+J82+K82+M82+L82</f>
        <v>#N/A</v>
      </c>
      <c r="O82" s="262"/>
      <c r="P82" s="261" t="e">
        <f>+IF(AND(OR(D82='Taboa Dat. '!$J$4,D82='Taboa Dat. '!$K$4,D82='Taboa Dat. '!$L$4,D82='Taboa Dat. '!$M$4,D82='Taboa Dat. '!$N$4),'Gastos de Persoal'!O82=""),'Gastos de Persoal'!N82*SUM('Taboa Dat. '!$J$5:$J$7),IF(AND(OR(D82='Taboa Dat. '!$J$4,'Taboa Dat. '!$K$4,'Taboa Dat. '!$L$4,'Taboa Dat. '!$M$4,'Taboa Dat. '!$N$4),'Gastos de Persoal'!O82="a"),'Gastos de Persoal'!N82*('Taboa Dat. '!$J$5+'Taboa Dat. '!$J$6+'Taboa Dat. '!$J$8),IF(AND(OR(D82='Taboa Dat. '!$J$4,'Taboa Dat. '!$K$4,'Taboa Dat. '!$L$4,'Taboa Dat. '!$M$4,'Taboa Dat. '!$N$4),'Gastos de Persoal'!O82="g"),'Gastos de Persoal'!N82*('Taboa Dat. '!$J$5+'Taboa Dat. '!$J$6+'Taboa Dat. '!$J$9),'Gastos de Persoal'!N82*SUM('Taboa Dat. '!$O$5:$O$7))))</f>
        <v>#N/A</v>
      </c>
      <c r="Q82" s="261"/>
      <c r="R82" s="261" t="e">
        <f t="shared" ref="R82:R86" si="56">+P82+N82-Q82</f>
        <v>#N/A</v>
      </c>
      <c r="S82" s="261" t="e">
        <f>(H82/4/30)*12*7/12</f>
        <v>#N/A</v>
      </c>
      <c r="T82" s="170"/>
      <c r="U82" s="288"/>
    </row>
    <row r="83" spans="1:21" ht="15" customHeight="1">
      <c r="A83" s="258"/>
      <c r="B83" s="259"/>
      <c r="C83" s="259"/>
      <c r="D83" s="259"/>
      <c r="E83" s="260"/>
      <c r="F83" s="216"/>
      <c r="G83" s="216"/>
      <c r="H83" s="261" t="e">
        <f>(+VLOOKUP(B83,'Taboa Dat. '!$A$4:$C$41,3))*4*G83*F83</f>
        <v>#N/A</v>
      </c>
      <c r="I83" s="269"/>
      <c r="J83" s="261">
        <f>IF(I83="",0,+VLOOKUP(I83,'Taboa Dat. '!$H$13:$J$17,3)*12*F83*G83)</f>
        <v>0</v>
      </c>
      <c r="K83" s="261">
        <f>0*12*G83*F83</f>
        <v>0</v>
      </c>
      <c r="L83" s="261">
        <v>0</v>
      </c>
      <c r="M83" s="261" t="e">
        <f t="shared" si="54"/>
        <v>#N/A</v>
      </c>
      <c r="N83" s="261" t="e">
        <f t="shared" si="55"/>
        <v>#N/A</v>
      </c>
      <c r="O83" s="262"/>
      <c r="P83" s="261" t="e">
        <f>+IF(AND(OR(D83='Taboa Dat. '!$J$4,D83='Taboa Dat. '!$K$4,D83='Taboa Dat. '!$L$4,D83='Taboa Dat. '!$M$4,D83='Taboa Dat. '!$N$4),'Gastos de Persoal'!O83=""),'Gastos de Persoal'!N83*SUM('Taboa Dat. '!$J$5:$J$7),IF(AND(OR(D83='Taboa Dat. '!$J$4,'Taboa Dat. '!$K$4,'Taboa Dat. '!$L$4,'Taboa Dat. '!$M$4,'Taboa Dat. '!$N$4),'Gastos de Persoal'!O83="a"),'Gastos de Persoal'!N83*('Taboa Dat. '!$J$5+'Taboa Dat. '!$J$6+'Taboa Dat. '!$J$8),IF(AND(OR(D83='Taboa Dat. '!$J$4,'Taboa Dat. '!$K$4,'Taboa Dat. '!$L$4,'Taboa Dat. '!$M$4,'Taboa Dat. '!$N$4),'Gastos de Persoal'!O83="g"),'Gastos de Persoal'!N83*('Taboa Dat. '!$J$5+'Taboa Dat. '!$J$6+'Taboa Dat. '!$J$9),'Gastos de Persoal'!N83*SUM('Taboa Dat. '!$O$5:$O$7))))</f>
        <v>#N/A</v>
      </c>
      <c r="Q83" s="261"/>
      <c r="R83" s="261" t="e">
        <f t="shared" si="56"/>
        <v>#N/A</v>
      </c>
      <c r="S83" s="261" t="e">
        <f t="shared" ref="S83:S84" si="57">(H83/4/30)*12*7/12</f>
        <v>#N/A</v>
      </c>
      <c r="T83" s="170"/>
    </row>
    <row r="84" spans="1:21" ht="15" customHeight="1">
      <c r="A84" s="258"/>
      <c r="B84" s="259"/>
      <c r="C84" s="259"/>
      <c r="D84" s="259"/>
      <c r="E84" s="260"/>
      <c r="F84" s="216"/>
      <c r="G84" s="216"/>
      <c r="H84" s="261" t="e">
        <f>(+VLOOKUP(B84,'Taboa Dat. '!$A$4:$C$41,3))*4*G84*F84</f>
        <v>#N/A</v>
      </c>
      <c r="I84" s="269"/>
      <c r="J84" s="261">
        <f>IF(I84="",0,+VLOOKUP(I84,'Taboa Dat. '!$H$13:$J$17,3)*12*F84*G84)</f>
        <v>0</v>
      </c>
      <c r="K84" s="261">
        <f>0*12*G84*F84</f>
        <v>0</v>
      </c>
      <c r="L84" s="261">
        <v>0</v>
      </c>
      <c r="M84" s="261" t="e">
        <f t="shared" si="54"/>
        <v>#N/A</v>
      </c>
      <c r="N84" s="261" t="e">
        <f t="shared" si="55"/>
        <v>#N/A</v>
      </c>
      <c r="O84" s="262"/>
      <c r="P84" s="261" t="e">
        <f>+IF(AND(OR(D84='Taboa Dat. '!$J$4,D84='Taboa Dat. '!$K$4,D84='Taboa Dat. '!$L$4,D84='Taboa Dat. '!$M$4,D84='Taboa Dat. '!$N$4),'Gastos de Persoal'!O84=""),'Gastos de Persoal'!N84*SUM('Taboa Dat. '!$J$5:$J$7),IF(AND(OR(D84='Taboa Dat. '!$J$4,'Taboa Dat. '!$K$4,'Taboa Dat. '!$L$4,'Taboa Dat. '!$M$4,'Taboa Dat. '!$N$4),'Gastos de Persoal'!O84="a"),'Gastos de Persoal'!N84*('Taboa Dat. '!$J$5+'Taboa Dat. '!$J$6+'Taboa Dat. '!$J$8),IF(AND(OR(D84='Taboa Dat. '!$J$4,'Taboa Dat. '!$K$4,'Taboa Dat. '!$L$4,'Taboa Dat. '!$M$4,'Taboa Dat. '!$N$4),'Gastos de Persoal'!O84="g"),'Gastos de Persoal'!N84*('Taboa Dat. '!$J$5+'Taboa Dat. '!$J$6+'Taboa Dat. '!$J$9),'Gastos de Persoal'!N84*SUM('Taboa Dat. '!$O$5:$O$7))))</f>
        <v>#N/A</v>
      </c>
      <c r="Q84" s="261"/>
      <c r="R84" s="261" t="e">
        <f t="shared" si="56"/>
        <v>#N/A</v>
      </c>
      <c r="S84" s="261" t="e">
        <f t="shared" si="57"/>
        <v>#N/A</v>
      </c>
      <c r="T84" s="170"/>
    </row>
    <row r="85" spans="1:21" ht="15" customHeight="1">
      <c r="A85" s="160" t="s">
        <v>264</v>
      </c>
      <c r="B85" s="25"/>
      <c r="C85" s="25"/>
      <c r="D85" s="25"/>
      <c r="E85" s="212"/>
      <c r="F85" s="213"/>
      <c r="G85" s="213"/>
      <c r="H85" s="37">
        <v>0</v>
      </c>
      <c r="I85" s="266"/>
      <c r="J85" s="37">
        <f>IF(I85="",0,+VLOOKUP(I85,'Taboa Dat. '!$H$13:$J$17,3)*12*F85*G85)</f>
        <v>0</v>
      </c>
      <c r="K85" s="37">
        <f>39.02*12*G85*F85</f>
        <v>0</v>
      </c>
      <c r="L85" s="37">
        <v>0</v>
      </c>
      <c r="M85" s="37">
        <f t="shared" si="54"/>
        <v>0</v>
      </c>
      <c r="N85" s="37">
        <f t="shared" si="55"/>
        <v>0</v>
      </c>
      <c r="O85" s="214"/>
      <c r="P85" s="37">
        <f>+IF(AND(OR(D85='Taboa Dat. '!$J$4,D85='Taboa Dat. '!$K$4,D85='Taboa Dat. '!$L$4,D85='Taboa Dat. '!$M$4,D85='Taboa Dat. '!$N$4),'Gastos de Persoal'!O85=""),'Gastos de Persoal'!N85*SUM('Taboa Dat. '!$J$5:$J$7),IF(AND(OR(D85='Taboa Dat. '!$J$4,'Taboa Dat. '!$K$4,'Taboa Dat. '!$L$4,'Taboa Dat. '!$M$4,'Taboa Dat. '!$N$4),'Gastos de Persoal'!O85="a"),'Gastos de Persoal'!N85*('Taboa Dat. '!$J$5+'Taboa Dat. '!$J$6+'Taboa Dat. '!$J$8),IF(AND(OR(D85='Taboa Dat. '!$J$4,'Taboa Dat. '!$K$4,'Taboa Dat. '!$L$4,'Taboa Dat. '!$M$4,'Taboa Dat. '!$N$4),'Gastos de Persoal'!O85="g"),'Gastos de Persoal'!N85*('Taboa Dat. '!$J$5+'Taboa Dat. '!$J$6+'Taboa Dat. '!$J$9),'Gastos de Persoal'!N85*SUM('Taboa Dat. '!$O$5:$O$7))))</f>
        <v>0</v>
      </c>
      <c r="Q85" s="37"/>
      <c r="R85" s="37">
        <f t="shared" si="56"/>
        <v>0</v>
      </c>
      <c r="S85" s="138"/>
      <c r="T85" s="138"/>
    </row>
    <row r="86" spans="1:21" ht="15" customHeight="1">
      <c r="A86" s="160" t="s">
        <v>266</v>
      </c>
      <c r="B86" s="215"/>
      <c r="C86" s="25"/>
      <c r="D86" s="25"/>
      <c r="E86" s="212"/>
      <c r="F86" s="213"/>
      <c r="G86" s="213"/>
      <c r="H86" s="37">
        <v>0</v>
      </c>
      <c r="I86" s="163"/>
      <c r="J86" s="37">
        <f>IF(I86="",0,+VLOOKUP(I86,'Taboa Dat. '!$H$13:$J$17,3)*12*F86*G86)</f>
        <v>0</v>
      </c>
      <c r="K86" s="37">
        <f>78.046*12*G86*F86</f>
        <v>0</v>
      </c>
      <c r="L86" s="37">
        <v>0</v>
      </c>
      <c r="M86" s="37">
        <f t="shared" si="54"/>
        <v>0</v>
      </c>
      <c r="N86" s="37">
        <f t="shared" si="55"/>
        <v>0</v>
      </c>
      <c r="O86" s="214"/>
      <c r="P86" s="37">
        <f>+IF(AND(OR(D86='Taboa Dat. '!$J$4,D86='Taboa Dat. '!$K$4,D86='Taboa Dat. '!$L$4,D86='Taboa Dat. '!$M$4,D86='Taboa Dat. '!$N$4),'Gastos de Persoal'!O86=""),'Gastos de Persoal'!N86*SUM('Taboa Dat. '!$J$5:$J$7),IF(AND(OR(D86='Taboa Dat. '!$J$4,'Taboa Dat. '!$K$4,'Taboa Dat. '!$L$4,'Taboa Dat. '!$M$4,'Taboa Dat. '!$N$4),'Gastos de Persoal'!O86="a"),'Gastos de Persoal'!N86*('Taboa Dat. '!$J$5+'Taboa Dat. '!$J$6+'Taboa Dat. '!$J$8),IF(AND(OR(D86='Taboa Dat. '!$J$4,'Taboa Dat. '!$K$4,'Taboa Dat. '!$L$4,'Taboa Dat. '!$M$4,'Taboa Dat. '!$N$4),'Gastos de Persoal'!O86="g"),'Gastos de Persoal'!N86*('Taboa Dat. '!$J$5+'Taboa Dat. '!$J$6+'Taboa Dat. '!$J$9),'Gastos de Persoal'!N86*SUM('Taboa Dat. '!$O$5:$O$7))))</f>
        <v>0</v>
      </c>
      <c r="Q86" s="37"/>
      <c r="R86" s="37">
        <f t="shared" si="56"/>
        <v>0</v>
      </c>
      <c r="S86" s="138"/>
      <c r="T86" s="138"/>
    </row>
    <row r="87" spans="1:21" ht="15" hidden="1" customHeight="1">
      <c r="A87" s="161"/>
      <c r="B87" s="140">
        <v>24</v>
      </c>
      <c r="C87" s="25" t="s">
        <v>267</v>
      </c>
      <c r="D87" s="25"/>
      <c r="E87" s="161"/>
      <c r="F87" s="161"/>
      <c r="G87" s="213"/>
      <c r="H87" s="37">
        <v>0</v>
      </c>
      <c r="I87" s="266"/>
      <c r="J87" s="37">
        <f>IF(I87="",0,+VLOOKUP(I87,'Taboa Dat. '!$H$13:$J$17,3)*12*F87*G87)</f>
        <v>0</v>
      </c>
      <c r="K87" s="37"/>
      <c r="L87" s="37"/>
      <c r="M87" s="37"/>
      <c r="N87" s="37">
        <f t="shared" si="42"/>
        <v>0</v>
      </c>
      <c r="O87" s="214"/>
      <c r="P87" s="37">
        <v>0</v>
      </c>
      <c r="Q87" s="37"/>
      <c r="R87" s="37">
        <f t="shared" si="44"/>
        <v>0</v>
      </c>
    </row>
    <row r="88" spans="1:21" ht="15" hidden="1" customHeight="1">
      <c r="A88" s="7"/>
      <c r="B88" s="7"/>
      <c r="C88" s="7"/>
      <c r="D88" s="7"/>
      <c r="E88" s="7"/>
      <c r="F88" s="7"/>
      <c r="G88" s="213"/>
      <c r="H88" s="37"/>
      <c r="I88" s="266"/>
      <c r="J88" s="37"/>
      <c r="K88" s="37">
        <f>0*(1+$R$2)*0</f>
        <v>0</v>
      </c>
      <c r="L88" s="37"/>
      <c r="M88" s="37">
        <f>(+H88+K88)*2/12</f>
        <v>0</v>
      </c>
      <c r="N88" s="37">
        <f t="shared" si="42"/>
        <v>0</v>
      </c>
      <c r="O88" s="214"/>
      <c r="P88" s="37">
        <v>0</v>
      </c>
      <c r="Q88" s="37"/>
      <c r="R88" s="37">
        <f t="shared" si="44"/>
        <v>0</v>
      </c>
    </row>
    <row r="89" spans="1:21" ht="24.75" customHeight="1">
      <c r="A89" s="227" t="s">
        <v>260</v>
      </c>
      <c r="B89" s="227"/>
      <c r="C89" s="227"/>
      <c r="D89" s="227"/>
      <c r="E89" s="227"/>
      <c r="F89" s="227"/>
      <c r="G89" s="213"/>
      <c r="H89" s="38" t="e">
        <f>SUM(H72:H88)</f>
        <v>#N/A</v>
      </c>
      <c r="I89" s="38"/>
      <c r="J89" s="38">
        <f>SUM(J72:J88)</f>
        <v>0</v>
      </c>
      <c r="K89" s="38">
        <f>SUM(K72:K88)</f>
        <v>0</v>
      </c>
      <c r="L89" s="38" t="e">
        <f>SUM(L72:L88)</f>
        <v>#N/A</v>
      </c>
      <c r="M89" s="38" t="e">
        <f>SUM(M72:M88)</f>
        <v>#N/A</v>
      </c>
      <c r="N89" s="38" t="e">
        <f>SUM(N72:N88)</f>
        <v>#N/A</v>
      </c>
      <c r="O89" s="38">
        <f t="shared" ref="O89" si="58">SUM(O72:O88)</f>
        <v>0</v>
      </c>
      <c r="P89" s="38" t="e">
        <f>SUM(P72:P88)</f>
        <v>#N/A</v>
      </c>
      <c r="Q89" s="38">
        <f>SUM(Q72:Q88)</f>
        <v>0</v>
      </c>
      <c r="R89" s="38" t="e">
        <f>SUM(R72:R88)</f>
        <v>#N/A</v>
      </c>
      <c r="S89" s="38" t="e">
        <f>SUM(S72:S88)</f>
        <v>#N/A</v>
      </c>
    </row>
    <row r="90" spans="1:21" ht="15" customHeight="1">
      <c r="A90" s="48" t="s">
        <v>261</v>
      </c>
      <c r="B90" s="48"/>
      <c r="C90" s="48"/>
      <c r="D90" s="48"/>
      <c r="E90" s="48"/>
      <c r="F90" s="48"/>
      <c r="G90" s="48"/>
      <c r="R90" s="11"/>
    </row>
    <row r="91" spans="1:21" ht="10.5" customHeight="1"/>
    <row r="92" spans="1:21" ht="27.75" customHeight="1">
      <c r="A92" s="8" t="s">
        <v>241</v>
      </c>
      <c r="B92" s="8"/>
      <c r="C92" s="8"/>
      <c r="D92" s="8"/>
      <c r="E92" s="8"/>
      <c r="F92" s="8"/>
      <c r="G92" s="8"/>
      <c r="H92" s="8" t="s">
        <v>247</v>
      </c>
      <c r="I92" s="265"/>
      <c r="J92" s="8"/>
      <c r="K92" s="209" t="s">
        <v>249</v>
      </c>
      <c r="L92" s="209" t="s">
        <v>250</v>
      </c>
      <c r="M92" s="8" t="s">
        <v>251</v>
      </c>
      <c r="N92" s="8" t="s">
        <v>252</v>
      </c>
      <c r="O92" s="8"/>
      <c r="P92" s="9" t="s">
        <v>254</v>
      </c>
      <c r="Q92" s="211" t="s">
        <v>255</v>
      </c>
      <c r="R92" s="9" t="s">
        <v>256</v>
      </c>
    </row>
    <row r="93" spans="1:21" ht="15" customHeight="1">
      <c r="A93" s="7"/>
      <c r="B93" s="25"/>
      <c r="C93" s="25"/>
      <c r="D93" s="25"/>
      <c r="E93" s="212"/>
      <c r="F93" s="213"/>
      <c r="G93" s="213"/>
      <c r="H93" s="37">
        <f>+VLOOKUP(B93,'Taboa Dat. '!$A$3:$C$41,3)*12*G93*F93</f>
        <v>0</v>
      </c>
      <c r="I93" s="163"/>
      <c r="J93" s="37">
        <f>IF(I93="",0,+VLOOKUP(I93,'Taboa Dat. '!$H$13:$J$17,3)*12*F93*G93)</f>
        <v>0</v>
      </c>
      <c r="K93" s="37">
        <f>1*12*G93*F93</f>
        <v>0</v>
      </c>
      <c r="L93" s="37" t="e">
        <f>(+VLOOKUP(B93,'Taboa Dat. '!$A$4:D$41,4)*12*F93*G93)*2</f>
        <v>#N/A</v>
      </c>
      <c r="M93" s="37">
        <f t="shared" ref="M93" si="59">(+H93+K93+J93)*2/12</f>
        <v>0</v>
      </c>
      <c r="N93" s="37" t="e">
        <f t="shared" ref="N93:N96" si="60">+H93+J93+K93+M93+L93</f>
        <v>#N/A</v>
      </c>
      <c r="O93" s="214" t="s">
        <v>263</v>
      </c>
      <c r="P93" s="37" t="e">
        <f>+IF(AND(OR(D93='Taboa Dat. '!$J$4,D93='Taboa Dat. '!$K$4,D93='Taboa Dat. '!$L$4,D93='Taboa Dat. '!$M$4,D93='Taboa Dat. '!$N$4),'Gastos de Persoal'!O93=""),'Gastos de Persoal'!N93*SUM('Taboa Dat. '!$J$5:$J$7),IF(AND(OR(D93='Taboa Dat. '!$J$4,'Taboa Dat. '!$K$4,'Taboa Dat. '!$L$4,'Taboa Dat. '!$M$4,'Taboa Dat. '!$N$4),'Gastos de Persoal'!O93="a"),'Gastos de Persoal'!N93*('Taboa Dat. '!$J$5+'Taboa Dat. '!$J$6+'Taboa Dat. '!$J$8),IF(AND(OR(D93='Taboa Dat. '!$J$4,'Taboa Dat. '!$K$4,'Taboa Dat. '!$L$4,'Taboa Dat. '!$M$4,'Taboa Dat. '!$N$4),'Gastos de Persoal'!O93="g"),'Gastos de Persoal'!N93*('Taboa Dat. '!$J$5+'Taboa Dat. '!$J$6+'Taboa Dat. '!$J$9),'Gastos de Persoal'!N93*SUM('Taboa Dat. '!$O$5:$O$7))))</f>
        <v>#N/A</v>
      </c>
      <c r="Q93" s="37"/>
      <c r="R93" s="37" t="e">
        <f t="shared" ref="R93" si="61">+P93+N93-Q93</f>
        <v>#N/A</v>
      </c>
    </row>
    <row r="94" spans="1:21" ht="15" customHeight="1">
      <c r="A94" s="7"/>
      <c r="B94" s="25"/>
      <c r="C94" s="25"/>
      <c r="D94" s="25"/>
      <c r="E94" s="212"/>
      <c r="F94" s="213"/>
      <c r="G94" s="213"/>
      <c r="H94" s="37">
        <f>+VLOOKUP(B94,'Taboa Dat. '!$A$3:$C$41,3)*12*G94*F94</f>
        <v>0</v>
      </c>
      <c r="I94" s="163"/>
      <c r="J94" s="37">
        <f>IF(I94="",0,+VLOOKUP(I94,'Taboa Dat. '!$H$13:$J$17,3)*12*F94*G94)</f>
        <v>0</v>
      </c>
      <c r="K94" s="37">
        <f t="shared" ref="K94:K96" si="62">1*12*G94*F94</f>
        <v>0</v>
      </c>
      <c r="L94" s="37" t="e">
        <f>(+VLOOKUP(B94,'Taboa Dat. '!$A$4:D$41,4)*12*F94*G94)*2</f>
        <v>#N/A</v>
      </c>
      <c r="M94" s="37">
        <f>(+H94+K94+J94)*2/12</f>
        <v>0</v>
      </c>
      <c r="N94" s="37" t="e">
        <f t="shared" si="60"/>
        <v>#N/A</v>
      </c>
      <c r="O94" s="214" t="s">
        <v>263</v>
      </c>
      <c r="P94" s="37" t="e">
        <f>+IF(AND(OR(D94='Taboa Dat. '!$J$4,D94='Taboa Dat. '!$K$4,D94='Taboa Dat. '!$L$4,D94='Taboa Dat. '!$M$4,D94='Taboa Dat. '!$N$4),'Gastos de Persoal'!O94=""),'Gastos de Persoal'!N94*SUM('Taboa Dat. '!$J$5:$J$7),IF(AND(OR(D94='Taboa Dat. '!$J$4,'Taboa Dat. '!$K$4,'Taboa Dat. '!$L$4,'Taboa Dat. '!$M$4,'Taboa Dat. '!$N$4),'Gastos de Persoal'!O94="a"),'Gastos de Persoal'!N94*('Taboa Dat. '!$J$5+'Taboa Dat. '!$J$6+'Taboa Dat. '!$J$8),IF(AND(OR(D94='Taboa Dat. '!$J$4,'Taboa Dat. '!$K$4,'Taboa Dat. '!$L$4,'Taboa Dat. '!$M$4,'Taboa Dat. '!$N$4),'Gastos de Persoal'!O94="g"),'Gastos de Persoal'!N94*('Taboa Dat. '!$J$5+'Taboa Dat. '!$J$6+'Taboa Dat. '!$J$9),'Gastos de Persoal'!N94*SUM('Taboa Dat. '!$O$5:$O$7))))</f>
        <v>#N/A</v>
      </c>
      <c r="Q94" s="37"/>
      <c r="R94" s="37" t="e">
        <f>+P94+N94-Q94</f>
        <v>#N/A</v>
      </c>
    </row>
    <row r="95" spans="1:21" ht="15" customHeight="1">
      <c r="A95" s="159"/>
      <c r="B95" s="215"/>
      <c r="C95" s="25"/>
      <c r="D95" s="25"/>
      <c r="E95" s="212"/>
      <c r="F95" s="213"/>
      <c r="G95" s="221"/>
      <c r="H95" s="37">
        <f>+VLOOKUP(B95,'Taboa Dat. '!$A$3:$C$41,3)*12*G95*F95</f>
        <v>0</v>
      </c>
      <c r="I95" s="163"/>
      <c r="J95" s="37">
        <f>IF(I95="",0,+VLOOKUP(I95,'Taboa Dat. '!$H$13:$J$17,3)*12*F95*G95)</f>
        <v>0</v>
      </c>
      <c r="K95" s="37">
        <f t="shared" si="62"/>
        <v>0</v>
      </c>
      <c r="L95" s="37" t="e">
        <f>(+VLOOKUP(B95,'Taboa Dat. '!$A$4:D$41,4)+16.01)*12*F95*G95</f>
        <v>#N/A</v>
      </c>
      <c r="M95" s="37">
        <f t="shared" ref="M95" si="63">(+H95+K95+J95)*2/12</f>
        <v>0</v>
      </c>
      <c r="N95" s="37" t="e">
        <f>+H95+J95+K95+M95+L95</f>
        <v>#N/A</v>
      </c>
      <c r="O95" s="214"/>
      <c r="P95" s="37" t="e">
        <f>+IF(AND(OR(D95='Taboa Dat. '!$J$4,D95='Taboa Dat. '!$K$4,D95='Taboa Dat. '!$L$4,D95='Taboa Dat. '!$M$4,D95='Taboa Dat. '!$N$4),'Gastos de Persoal'!O95=""),'Gastos de Persoal'!N95*SUM('Taboa Dat. '!$J$5:$J$7),IF(AND(OR(D95='Taboa Dat. '!$J$4,'Taboa Dat. '!$K$4,'Taboa Dat. '!$L$4,'Taboa Dat. '!$M$4,'Taboa Dat. '!$N$4),'Gastos de Persoal'!O95="a"),'Gastos de Persoal'!N95*('Taboa Dat. '!$J$5+'Taboa Dat. '!$J$6+'Taboa Dat. '!$J$8),IF(AND(OR(D95='Taboa Dat. '!$J$4,'Taboa Dat. '!$K$4,'Taboa Dat. '!$L$4,'Taboa Dat. '!$M$4,'Taboa Dat. '!$N$4),'Gastos de Persoal'!O95="g"),'Gastos de Persoal'!N95*('Taboa Dat. '!$J$5+'Taboa Dat. '!$J$6+'Taboa Dat. '!$J$9),'Gastos de Persoal'!N95*SUM('Taboa Dat. '!$O$5:$O$7))))</f>
        <v>#N/A</v>
      </c>
      <c r="Q95" s="37"/>
      <c r="R95" s="37" t="e">
        <f>+P95+N95-Q95</f>
        <v>#N/A</v>
      </c>
      <c r="T95" s="138"/>
    </row>
    <row r="96" spans="1:21" ht="15" customHeight="1">
      <c r="A96" s="7"/>
      <c r="B96" s="25"/>
      <c r="C96" s="25"/>
      <c r="D96" s="25"/>
      <c r="E96" s="212"/>
      <c r="F96" s="213"/>
      <c r="G96" s="213"/>
      <c r="H96" s="37">
        <f>+VLOOKUP(B96,'Taboa Dat. '!$A$3:$C$41,3)*12*G96*F96</f>
        <v>0</v>
      </c>
      <c r="I96" s="163"/>
      <c r="J96" s="37">
        <f>IF(I96="",0,+VLOOKUP(I96,'Taboa Dat. '!$H$13:$J$17,3)*12*F96*G96)</f>
        <v>0</v>
      </c>
      <c r="K96" s="37">
        <f t="shared" si="62"/>
        <v>0</v>
      </c>
      <c r="L96" s="37" t="e">
        <f>(+VLOOKUP(B96,'Taboa Dat. '!$A$4:D$41,4)*12*F96*G96)*2</f>
        <v>#N/A</v>
      </c>
      <c r="M96" s="37">
        <f>(+H96+K96+J96)*2/12</f>
        <v>0</v>
      </c>
      <c r="N96" s="37" t="e">
        <f t="shared" si="60"/>
        <v>#N/A</v>
      </c>
      <c r="O96" s="214"/>
      <c r="P96" s="37" t="e">
        <f>+IF(AND(OR(D96='Taboa Dat. '!$J$4,D96='Taboa Dat. '!$K$4,D96='Taboa Dat. '!$L$4,D96='Taboa Dat. '!$M$4,D96='Taboa Dat. '!$N$4),'Gastos de Persoal'!O96=""),'Gastos de Persoal'!N96*SUM('Taboa Dat. '!$J$5:$J$7),IF(AND(OR(D96='Taboa Dat. '!$J$4,'Taboa Dat. '!$K$4,'Taboa Dat. '!$L$4,'Taboa Dat. '!$M$4,'Taboa Dat. '!$N$4),'Gastos de Persoal'!O96="a"),'Gastos de Persoal'!N96*('Taboa Dat. '!$J$5+'Taboa Dat. '!$J$6+'Taboa Dat. '!$J$8),IF(AND(OR(D96='Taboa Dat. '!$J$4,'Taboa Dat. '!$K$4,'Taboa Dat. '!$L$4,'Taboa Dat. '!$M$4,'Taboa Dat. '!$N$4),'Gastos de Persoal'!O96="g"),'Gastos de Persoal'!N96*('Taboa Dat. '!$J$5+'Taboa Dat. '!$J$6+'Taboa Dat. '!$J$9),'Gastos de Persoal'!N96*SUM('Taboa Dat. '!$O$5:$O$7))))</f>
        <v>#N/A</v>
      </c>
      <c r="Q96" s="37"/>
      <c r="R96" s="37" t="e">
        <f>+P96+N96-Q96</f>
        <v>#N/A</v>
      </c>
    </row>
    <row r="97" spans="1:19" ht="15" hidden="1" customHeight="1">
      <c r="A97" s="7"/>
      <c r="B97" s="25"/>
      <c r="C97" s="25"/>
      <c r="D97" s="25"/>
      <c r="E97" s="212"/>
      <c r="F97" s="213"/>
      <c r="G97" s="213"/>
      <c r="H97" s="37">
        <f>+VLOOKUP(B97,'Taboa Dat. '!$A$3:$C$41,3)*12*G97*F97</f>
        <v>0</v>
      </c>
      <c r="I97" s="163"/>
      <c r="J97" s="37"/>
      <c r="K97" s="37"/>
      <c r="L97" s="37"/>
      <c r="M97" s="37"/>
      <c r="N97" s="37"/>
      <c r="O97" s="214"/>
      <c r="P97" s="37"/>
      <c r="Q97" s="37"/>
      <c r="R97" s="37"/>
    </row>
    <row r="98" spans="1:19" ht="15" hidden="1" customHeight="1">
      <c r="A98" s="7"/>
      <c r="B98" s="25"/>
      <c r="C98" s="25"/>
      <c r="D98" s="25"/>
      <c r="E98" s="212"/>
      <c r="F98" s="213"/>
      <c r="G98" s="213"/>
      <c r="H98" s="37">
        <f>+VLOOKUP(B98,'Taboa Dat. '!$A$3:$C$41,3)*12*G98*F98</f>
        <v>0</v>
      </c>
      <c r="I98" s="163"/>
      <c r="J98" s="37"/>
      <c r="K98" s="37"/>
      <c r="L98" s="37"/>
      <c r="M98" s="37"/>
      <c r="N98" s="37"/>
      <c r="O98" s="214"/>
      <c r="P98" s="37"/>
      <c r="Q98" s="37"/>
      <c r="R98" s="37"/>
    </row>
    <row r="99" spans="1:19" ht="24.75" customHeight="1">
      <c r="A99" s="227" t="s">
        <v>260</v>
      </c>
      <c r="B99" s="227"/>
      <c r="C99" s="227"/>
      <c r="D99" s="227"/>
      <c r="E99" s="227"/>
      <c r="F99" s="227"/>
      <c r="G99" s="227"/>
      <c r="H99" s="38">
        <f>SUM(H93:H98)</f>
        <v>0</v>
      </c>
      <c r="I99" s="268"/>
      <c r="J99" s="38">
        <f>SUM(J93:J98)</f>
        <v>0</v>
      </c>
      <c r="K99" s="38">
        <f>SUM(K93:K98)</f>
        <v>0</v>
      </c>
      <c r="L99" s="38" t="e">
        <f>SUM(L93:L98)</f>
        <v>#N/A</v>
      </c>
      <c r="M99" s="38">
        <f>SUM(M93:M98)</f>
        <v>0</v>
      </c>
      <c r="N99" s="38" t="e">
        <f>SUM(N93:N98)</f>
        <v>#N/A</v>
      </c>
      <c r="O99" s="38">
        <f t="shared" ref="O99" si="64">SUM(O93:O98)</f>
        <v>0</v>
      </c>
      <c r="P99" s="38" t="e">
        <f>SUM(P93:P98)</f>
        <v>#N/A</v>
      </c>
      <c r="Q99" s="38">
        <f>SUM(Q93:Q98)</f>
        <v>0</v>
      </c>
      <c r="R99" s="38" t="e">
        <f>SUM(R93:R98)</f>
        <v>#N/A</v>
      </c>
    </row>
    <row r="100" spans="1:19">
      <c r="A100" s="7"/>
      <c r="B100" s="7"/>
      <c r="C100" s="7"/>
      <c r="D100" s="7"/>
      <c r="E100" s="7"/>
      <c r="F100" s="7"/>
      <c r="G100" s="7"/>
    </row>
    <row r="101" spans="1:19" ht="25.5" customHeight="1">
      <c r="A101" s="229" t="s">
        <v>268</v>
      </c>
      <c r="B101" s="230"/>
      <c r="C101" s="230"/>
      <c r="D101" s="48"/>
      <c r="E101" s="48"/>
      <c r="F101" s="48"/>
      <c r="G101" s="48"/>
      <c r="R101" s="11"/>
    </row>
    <row r="102" spans="1:19" ht="15" customHeight="1">
      <c r="A102" s="48" t="s">
        <v>240</v>
      </c>
      <c r="B102" s="48"/>
      <c r="C102" s="48"/>
      <c r="D102" s="48"/>
      <c r="E102" s="48"/>
      <c r="F102" s="48"/>
      <c r="G102" s="48"/>
      <c r="R102" s="11"/>
      <c r="S102" s="170"/>
    </row>
    <row r="103" spans="1:19" ht="10.5" customHeight="1"/>
    <row r="104" spans="1:19" ht="24.75" customHeight="1">
      <c r="A104" s="8" t="s">
        <v>241</v>
      </c>
      <c r="B104" s="8"/>
      <c r="C104" s="8"/>
      <c r="D104" s="8"/>
      <c r="E104" s="8"/>
      <c r="F104" s="8"/>
      <c r="G104" s="8"/>
      <c r="H104" s="8" t="s">
        <v>247</v>
      </c>
      <c r="I104" s="265"/>
      <c r="J104" s="8"/>
      <c r="K104" s="209" t="s">
        <v>249</v>
      </c>
      <c r="L104" s="209" t="s">
        <v>250</v>
      </c>
      <c r="M104" s="8" t="s">
        <v>251</v>
      </c>
      <c r="N104" s="8" t="s">
        <v>252</v>
      </c>
      <c r="O104" s="8"/>
      <c r="P104" s="9" t="s">
        <v>254</v>
      </c>
      <c r="Q104" s="211" t="s">
        <v>255</v>
      </c>
      <c r="R104" s="9" t="s">
        <v>256</v>
      </c>
    </row>
    <row r="105" spans="1:19" ht="15" customHeight="1">
      <c r="A105" s="7"/>
      <c r="B105" s="25"/>
      <c r="C105" s="25"/>
      <c r="D105" s="25"/>
      <c r="E105" s="212"/>
      <c r="F105" s="213"/>
      <c r="G105" s="213"/>
      <c r="H105" s="37" t="e">
        <f>+VLOOKUP(B105,'Taboa Dat. '!$A$4:$C$41,3)*12*G105*F105</f>
        <v>#N/A</v>
      </c>
      <c r="I105" s="266"/>
      <c r="J105" s="37">
        <f>IF(I105="",0,+VLOOKUP(I105,'Taboa Dat. '!$H$13:$J$17,3)*12*F105*G105)</f>
        <v>0</v>
      </c>
      <c r="K105" s="37">
        <f>490.96*12*G105*F105</f>
        <v>0</v>
      </c>
      <c r="L105" s="37" t="e">
        <f>(+VLOOKUP(B105,'Taboa Dat. '!$A$4:D$41,4)*12*F105*G105)*2</f>
        <v>#N/A</v>
      </c>
      <c r="M105" s="37" t="e">
        <f t="shared" ref="M105:M106" si="65">(+H105+K105+J105)*2/12</f>
        <v>#N/A</v>
      </c>
      <c r="N105" s="37" t="e">
        <f t="shared" ref="N105:N106" si="66">+H105+J105+K105+M105+L105</f>
        <v>#N/A</v>
      </c>
      <c r="O105" s="214"/>
      <c r="P105" s="37" t="e">
        <f>+IF(AND(OR(D105='Taboa Dat. '!$J$4,D105='Taboa Dat. '!$K$4,D105='Taboa Dat. '!$L$4,D105='Taboa Dat. '!$M$4,D105='Taboa Dat. '!$N$4),'Gastos de Persoal'!O105=""),'Gastos de Persoal'!N105*SUM('Taboa Dat. '!$J$5:$J$7),IF(AND(OR(D105='Taboa Dat. '!$J$4,'Taboa Dat. '!$K$4,'Taboa Dat. '!$L$4,'Taboa Dat. '!$M$4,'Taboa Dat. '!$N$4),'Gastos de Persoal'!O105="a"),'Gastos de Persoal'!N105*('Taboa Dat. '!$J$5+'Taboa Dat. '!$J$6+'Taboa Dat. '!$J$8),IF(AND(OR(D105='Taboa Dat. '!$J$4,'Taboa Dat. '!$K$4,'Taboa Dat. '!$L$4,'Taboa Dat. '!$M$4,'Taboa Dat. '!$N$4),'Gastos de Persoal'!O105="g"),'Gastos de Persoal'!N105*('Taboa Dat. '!$J$5+'Taboa Dat. '!$J$6+'Taboa Dat. '!$J$9),'Gastos de Persoal'!N105*SUM('Taboa Dat. '!$O$5:$O$7))))</f>
        <v>#N/A</v>
      </c>
      <c r="Q105" s="37"/>
      <c r="R105" s="37" t="e">
        <f t="shared" ref="R105:R106" si="67">+P105+N105-Q105</f>
        <v>#N/A</v>
      </c>
    </row>
    <row r="106" spans="1:19" ht="15" customHeight="1">
      <c r="A106" s="159"/>
      <c r="B106" s="215"/>
      <c r="C106" s="25"/>
      <c r="D106" s="25"/>
      <c r="E106" s="212"/>
      <c r="F106" s="213"/>
      <c r="G106" s="213"/>
      <c r="H106" s="37" t="e">
        <f>+VLOOKUP(B106,'Taboa Dat. '!$A$4:$C$41,3)*12*G106*F106</f>
        <v>#N/A</v>
      </c>
      <c r="I106" s="266"/>
      <c r="J106" s="37">
        <f>IF(I106="",0,+VLOOKUP(I106,'Taboa Dat. '!$H$13:$J$17,3)*12*F106*G106)</f>
        <v>0</v>
      </c>
      <c r="K106" s="37">
        <f>178.96*12*G106*F106</f>
        <v>0</v>
      </c>
      <c r="L106" s="37" t="e">
        <f>(+VLOOKUP(B106,'Taboa Dat. '!$A$4:D$41,4)*12*F106*G106)*2</f>
        <v>#N/A</v>
      </c>
      <c r="M106" s="37" t="e">
        <f t="shared" si="65"/>
        <v>#N/A</v>
      </c>
      <c r="N106" s="37" t="e">
        <f t="shared" si="66"/>
        <v>#N/A</v>
      </c>
      <c r="O106" s="214"/>
      <c r="P106" s="37" t="e">
        <f>+IF(AND(OR(D106='Taboa Dat. '!$J$4,D106='Taboa Dat. '!$K$4,D106='Taboa Dat. '!$L$4,D106='Taboa Dat. '!$M$4,D106='Taboa Dat. '!$N$4),'Gastos de Persoal'!O106=""),'Gastos de Persoal'!N106*SUM('Taboa Dat. '!$J$5:$J$7),IF(AND(OR(D106='Taboa Dat. '!$J$4,'Taboa Dat. '!$K$4,'Taboa Dat. '!$L$4,'Taboa Dat. '!$M$4,'Taboa Dat. '!$N$4),'Gastos de Persoal'!O106="a"),'Gastos de Persoal'!N106*('Taboa Dat. '!$J$5+'Taboa Dat. '!$J$6+'Taboa Dat. '!$J$8),IF(AND(OR(D106='Taboa Dat. '!$J$4,'Taboa Dat. '!$K$4,'Taboa Dat. '!$L$4,'Taboa Dat. '!$M$4,'Taboa Dat. '!$N$4),'Gastos de Persoal'!O106="g"),'Gastos de Persoal'!N106*('Taboa Dat. '!$J$5+'Taboa Dat. '!$J$6+'Taboa Dat. '!$J$9),'Gastos de Persoal'!N106*SUM('Taboa Dat. '!$O$5:$O$7))))</f>
        <v>#N/A</v>
      </c>
      <c r="Q106" s="37"/>
      <c r="R106" s="37" t="e">
        <f t="shared" si="67"/>
        <v>#N/A</v>
      </c>
    </row>
    <row r="107" spans="1:19" ht="15" customHeight="1">
      <c r="A107" s="7"/>
      <c r="B107" s="215"/>
      <c r="C107" s="25"/>
      <c r="D107" s="25"/>
      <c r="E107" s="212"/>
      <c r="F107" s="213"/>
      <c r="G107" s="213"/>
      <c r="H107" s="37" t="e">
        <f>+VLOOKUP(B107,'Taboa Dat. '!$A$4:$C$41,3)*12*G107*F107</f>
        <v>#N/A</v>
      </c>
      <c r="I107" s="266"/>
      <c r="J107" s="37">
        <f>IF(I107="",0,+VLOOKUP(I107,'Taboa Dat. '!$H$13:$J$17,3)*12*G107*F107)</f>
        <v>0</v>
      </c>
      <c r="K107" s="37">
        <f>209.44*12*G107*F107</f>
        <v>0</v>
      </c>
      <c r="L107" s="37" t="e">
        <f>(+VLOOKUP(B107,'Taboa Dat. '!$A$4:D$41,4)*12*F107*G107)*2</f>
        <v>#N/A</v>
      </c>
      <c r="M107" s="37" t="e">
        <f t="shared" ref="M107:M110" si="68">(+H107+K107+J107)*2/12</f>
        <v>#N/A</v>
      </c>
      <c r="N107" s="37" t="e">
        <f t="shared" ref="N107:N113" si="69">+H107+J107+K107+M107+L107</f>
        <v>#N/A</v>
      </c>
      <c r="O107" s="214"/>
      <c r="P107" s="37" t="e">
        <f>+IF(AND(OR(D107='Taboa Dat. '!$J$4,D107='Taboa Dat. '!$K$4,D107='Taboa Dat. '!$L$4,D107='Taboa Dat. '!$M$4,D107='Taboa Dat. '!$N$4),'Gastos de Persoal'!O107=""),'Gastos de Persoal'!N107*SUM('Taboa Dat. '!$J$5:$J$7),IF(AND(OR(D107='Taboa Dat. '!$J$4,'Taboa Dat. '!$K$4,'Taboa Dat. '!$L$4,'Taboa Dat. '!$M$4,'Taboa Dat. '!$N$4),'Gastos de Persoal'!O107="a"),'Gastos de Persoal'!N107*('Taboa Dat. '!$J$5+'Taboa Dat. '!$J$6+'Taboa Dat. '!$J$8),IF(AND(OR(D107='Taboa Dat. '!$J$4,'Taboa Dat. '!$K$4,'Taboa Dat. '!$L$4,'Taboa Dat. '!$M$4,'Taboa Dat. '!$N$4),'Gastos de Persoal'!O107="g"),'Gastos de Persoal'!N107*('Taboa Dat. '!$J$5+'Taboa Dat. '!$J$6+'Taboa Dat. '!$J$9),'Gastos de Persoal'!N107*SUM('Taboa Dat. '!$O$5:$O$7))))</f>
        <v>#N/A</v>
      </c>
      <c r="Q107" s="37"/>
      <c r="R107" s="37" t="e">
        <f t="shared" ref="R107:R110" si="70">+P107+N107-Q107</f>
        <v>#N/A</v>
      </c>
    </row>
    <row r="108" spans="1:19" ht="15" customHeight="1">
      <c r="A108" s="7"/>
      <c r="B108" s="215"/>
      <c r="C108" s="25"/>
      <c r="D108" s="25"/>
      <c r="E108" s="212"/>
      <c r="F108" s="213"/>
      <c r="G108" s="213"/>
      <c r="H108" s="37" t="e">
        <f>+VLOOKUP(B108,'Taboa Dat. '!$A$4:$C$41,3)*12*G108*F108</f>
        <v>#N/A</v>
      </c>
      <c r="I108" s="266"/>
      <c r="J108" s="37">
        <f>IF(I108="",0,+VLOOKUP(I108,'Taboa Dat. '!$H$13:$J$17,3)*12*G108*F108)</f>
        <v>0</v>
      </c>
      <c r="K108" s="37">
        <f>157.088*12*G108*F108</f>
        <v>0</v>
      </c>
      <c r="L108" s="37" t="e">
        <f>(+VLOOKUP(B108,'Taboa Dat. '!$A$4:D$41,4)*12*F108*G108)*2</f>
        <v>#N/A</v>
      </c>
      <c r="M108" s="37" t="e">
        <f t="shared" ref="M108" si="71">(+H108+K108+J108)*2/12</f>
        <v>#N/A</v>
      </c>
      <c r="N108" s="37" t="e">
        <f t="shared" si="69"/>
        <v>#N/A</v>
      </c>
      <c r="O108" s="214"/>
      <c r="P108" s="37" t="e">
        <f>+IF(AND(OR(D108='Taboa Dat. '!$J$4,D108='Taboa Dat. '!$K$4,D108='Taboa Dat. '!$L$4,D108='Taboa Dat. '!$M$4,D108='Taboa Dat. '!$N$4),'Gastos de Persoal'!O108=""),'Gastos de Persoal'!N108*SUM('Taboa Dat. '!$J$5:$J$7),IF(AND(OR(D108='Taboa Dat. '!$J$4,'Taboa Dat. '!$K$4,'Taboa Dat. '!$L$4,'Taboa Dat. '!$M$4,'Taboa Dat. '!$N$4),'Gastos de Persoal'!O108="a"),'Gastos de Persoal'!N108*('Taboa Dat. '!$J$5+'Taboa Dat. '!$J$6+'Taboa Dat. '!$J$8),IF(AND(OR(D108='Taboa Dat. '!$J$4,'Taboa Dat. '!$K$4,'Taboa Dat. '!$L$4,'Taboa Dat. '!$M$4,'Taboa Dat. '!$N$4),'Gastos de Persoal'!O108="g"),'Gastos de Persoal'!N108*('Taboa Dat. '!$J$5+'Taboa Dat. '!$J$6+'Taboa Dat. '!$J$9),'Gastos de Persoal'!N108*SUM('Taboa Dat. '!$O$5:$O$7))))</f>
        <v>#N/A</v>
      </c>
      <c r="Q108" s="37"/>
      <c r="R108" s="37" t="e">
        <f t="shared" si="70"/>
        <v>#N/A</v>
      </c>
    </row>
    <row r="109" spans="1:19" ht="15" customHeight="1">
      <c r="A109" s="159"/>
      <c r="B109" s="215"/>
      <c r="C109" s="25"/>
      <c r="D109" s="25"/>
      <c r="E109" s="212"/>
      <c r="F109" s="213"/>
      <c r="G109" s="213"/>
      <c r="H109" s="37" t="e">
        <f>+VLOOKUP(B109,'Taboa Dat. '!$A$4:$C$41,3)*12*G109*F109</f>
        <v>#N/A</v>
      </c>
      <c r="I109" s="266"/>
      <c r="J109" s="37">
        <f>IF(I109="",0,+VLOOKUP(I109,'Taboa Dat. '!$H$13:$J$17,3)*12*G109*F109)</f>
        <v>0</v>
      </c>
      <c r="K109" s="37">
        <f>78.04*12*G109*F109</f>
        <v>0</v>
      </c>
      <c r="L109" s="37" t="e">
        <f>(+VLOOKUP(B109,'Taboa Dat. '!$A$4:D$41,4)*12*F109*G109)*2</f>
        <v>#N/A</v>
      </c>
      <c r="M109" s="37" t="e">
        <f t="shared" si="68"/>
        <v>#N/A</v>
      </c>
      <c r="N109" s="37" t="e">
        <f t="shared" si="69"/>
        <v>#N/A</v>
      </c>
      <c r="O109" s="214"/>
      <c r="P109" s="37" t="e">
        <f>+IF(AND(OR(D109='Taboa Dat. '!$J$4,D109='Taboa Dat. '!$K$4,D109='Taboa Dat. '!$L$4,D109='Taboa Dat. '!$M$4,D109='Taboa Dat. '!$N$4),'Gastos de Persoal'!O109=""),'Gastos de Persoal'!N109*SUM('Taboa Dat. '!$J$5:$J$7),IF(AND(OR(D109='Taboa Dat. '!$J$4,'Taboa Dat. '!$K$4,'Taboa Dat. '!$L$4,'Taboa Dat. '!$M$4,'Taboa Dat. '!$N$4),'Gastos de Persoal'!O109="a"),'Gastos de Persoal'!N109*('Taboa Dat. '!$J$5+'Taboa Dat. '!$J$6+'Taboa Dat. '!$J$8),IF(AND(OR(D109='Taboa Dat. '!$J$4,'Taboa Dat. '!$K$4,'Taboa Dat. '!$L$4,'Taboa Dat. '!$M$4,'Taboa Dat. '!$N$4),'Gastos de Persoal'!O109="g"),'Gastos de Persoal'!N109*('Taboa Dat. '!$J$5+'Taboa Dat. '!$J$6+'Taboa Dat. '!$J$9),'Gastos de Persoal'!N109*SUM('Taboa Dat. '!$O$5:$O$7))))</f>
        <v>#N/A</v>
      </c>
      <c r="Q109" s="37"/>
      <c r="R109" s="37" t="e">
        <f t="shared" si="70"/>
        <v>#N/A</v>
      </c>
    </row>
    <row r="110" spans="1:19" ht="15" customHeight="1">
      <c r="A110" s="7"/>
      <c r="B110" s="25"/>
      <c r="C110" s="25"/>
      <c r="D110" s="25"/>
      <c r="E110" s="212"/>
      <c r="F110" s="213"/>
      <c r="G110" s="213"/>
      <c r="H110" s="37" t="e">
        <f>+VLOOKUP(B110,'Taboa Dat. '!$A$4:$C$41,3)*12*G110*F110</f>
        <v>#N/A</v>
      </c>
      <c r="I110" s="266"/>
      <c r="J110" s="37">
        <f>IF(I110="",0,+VLOOKUP(I110,'Taboa Dat. '!$H$13:$J$17,3)*12*G110*F110)</f>
        <v>0</v>
      </c>
      <c r="K110" s="37">
        <f>39.02*12*G110*F110</f>
        <v>0</v>
      </c>
      <c r="L110" s="37" t="e">
        <f>(+VLOOKUP(B110,'Taboa Dat. '!$A$4:D$41,4)*12*F110*G110)*2</f>
        <v>#N/A</v>
      </c>
      <c r="M110" s="37" t="e">
        <f t="shared" si="68"/>
        <v>#N/A</v>
      </c>
      <c r="N110" s="37" t="e">
        <f t="shared" si="69"/>
        <v>#N/A</v>
      </c>
      <c r="O110" s="214"/>
      <c r="P110" s="37" t="e">
        <f>+IF(AND(OR(D110='Taboa Dat. '!$J$4,D110='Taboa Dat. '!$K$4,D110='Taboa Dat. '!$L$4,D110='Taboa Dat. '!$M$4,D110='Taboa Dat. '!$N$4),'Gastos de Persoal'!O110=""),'Gastos de Persoal'!N110*SUM('Taboa Dat. '!$J$5:$J$7),IF(AND(OR(D110='Taboa Dat. '!$J$4,'Taboa Dat. '!$K$4,'Taboa Dat. '!$L$4,'Taboa Dat. '!$M$4,'Taboa Dat. '!$N$4),'Gastos de Persoal'!O110="a"),'Gastos de Persoal'!N110*('Taboa Dat. '!$J$5+'Taboa Dat. '!$J$6+'Taboa Dat. '!$J$8),IF(AND(OR(D110='Taboa Dat. '!$J$4,'Taboa Dat. '!$K$4,'Taboa Dat. '!$L$4,'Taboa Dat. '!$M$4,'Taboa Dat. '!$N$4),'Gastos de Persoal'!O110="g"),'Gastos de Persoal'!N110*('Taboa Dat. '!$J$5+'Taboa Dat. '!$J$6+'Taboa Dat. '!$J$9),'Gastos de Persoal'!N110*SUM('Taboa Dat. '!$O$5:$O$7))))</f>
        <v>#N/A</v>
      </c>
      <c r="Q110" s="37"/>
      <c r="R110" s="37" t="e">
        <f t="shared" si="70"/>
        <v>#N/A</v>
      </c>
    </row>
    <row r="111" spans="1:19" ht="15" customHeight="1">
      <c r="A111" s="159"/>
      <c r="B111" s="215"/>
      <c r="C111" s="25"/>
      <c r="D111" s="25"/>
      <c r="E111" s="212"/>
      <c r="F111" s="213"/>
      <c r="G111" s="213"/>
      <c r="H111" s="37" t="e">
        <f>+VLOOKUP(B111,'Taboa Dat. '!$A$4:$C$41,3)*12*G111*F111</f>
        <v>#N/A</v>
      </c>
      <c r="I111" s="163"/>
      <c r="J111" s="37">
        <f>IF(I111="",0,+VLOOKUP(I111,'Taboa Dat. '!$H$13:$J$17,3)*12*G111*F111)</f>
        <v>0</v>
      </c>
      <c r="K111" s="37">
        <f>78.05*12*G111*F111</f>
        <v>0</v>
      </c>
      <c r="L111" s="37" t="e">
        <f>(+VLOOKUP(B111,'Taboa Dat. '!$A$4:D$41,4)*12*F111*G111)*2</f>
        <v>#N/A</v>
      </c>
      <c r="M111" s="37" t="e">
        <f>(+H111+K111+J111)*2/12</f>
        <v>#N/A</v>
      </c>
      <c r="N111" s="37" t="e">
        <f t="shared" si="69"/>
        <v>#N/A</v>
      </c>
      <c r="O111" s="214"/>
      <c r="P111" s="37" t="e">
        <f>+IF(AND(OR(D111='Taboa Dat. '!$J$4,D111='Taboa Dat. '!$K$4,D111='Taboa Dat. '!$L$4,D111='Taboa Dat. '!$M$4,D111='Taboa Dat. '!$N$4),'Gastos de Persoal'!O111=""),'Gastos de Persoal'!N111*SUM('Taboa Dat. '!$J$5:$J$7),IF(AND(OR(D111='Taboa Dat. '!$J$4,'Taboa Dat. '!$K$4,'Taboa Dat. '!$L$4,'Taboa Dat. '!$M$4,'Taboa Dat. '!$N$4),'Gastos de Persoal'!O111="a"),'Gastos de Persoal'!N111*('Taboa Dat. '!$J$5+'Taboa Dat. '!$J$6+'Taboa Dat. '!$J$8),IF(AND(OR(D111='Taboa Dat. '!$J$4,'Taboa Dat. '!$K$4,'Taboa Dat. '!$L$4,'Taboa Dat. '!$M$4,'Taboa Dat. '!$N$4),'Gastos de Persoal'!O111="g"),'Gastos de Persoal'!N111*('Taboa Dat. '!$J$5+'Taboa Dat. '!$J$6+'Taboa Dat. '!$J$9),'Gastos de Persoal'!N111*SUM('Taboa Dat. '!$O$5:$O$7))))</f>
        <v>#N/A</v>
      </c>
      <c r="Q111" s="37"/>
      <c r="R111" s="37" t="e">
        <f>+P111+N111-Q111</f>
        <v>#N/A</v>
      </c>
    </row>
    <row r="112" spans="1:19" ht="15" customHeight="1">
      <c r="A112" s="159"/>
      <c r="B112" s="215"/>
      <c r="C112" s="25"/>
      <c r="D112" s="25"/>
      <c r="E112" s="212"/>
      <c r="F112" s="213"/>
      <c r="G112" s="213"/>
      <c r="H112" s="37" t="e">
        <f>+VLOOKUP(B112,'Taboa Dat. '!$A$4:$C$41,3)*12*G112*F112</f>
        <v>#N/A</v>
      </c>
      <c r="I112" s="163"/>
      <c r="J112" s="37">
        <f>IF(I112="",0,+VLOOKUP(I112,'Taboa Dat. '!$H$13:$J$17,3)*12*F112*G112)</f>
        <v>0</v>
      </c>
      <c r="K112" s="37">
        <f>39.02*12*G112*F112</f>
        <v>0</v>
      </c>
      <c r="L112" s="37" t="e">
        <f>(+VLOOKUP(B112,'Taboa Dat. '!$A$4:D$41,4)*12*F112*G112)*2</f>
        <v>#N/A</v>
      </c>
      <c r="M112" s="37" t="e">
        <f>(+H112+K112+J112)*2/12</f>
        <v>#N/A</v>
      </c>
      <c r="N112" s="37" t="e">
        <f t="shared" si="69"/>
        <v>#N/A</v>
      </c>
      <c r="O112" s="214"/>
      <c r="P112" s="37" t="e">
        <f>+IF(AND(OR(D112='Taboa Dat. '!$J$4,D112='Taboa Dat. '!$K$4,D112='Taboa Dat. '!$L$4,D112='Taboa Dat. '!$M$4,D112='Taboa Dat. '!$N$4),'Gastos de Persoal'!O112=""),'Gastos de Persoal'!N112*SUM('Taboa Dat. '!$J$5:$J$7),IF(AND(OR(D112='Taboa Dat. '!$J$4,'Taboa Dat. '!$K$4,'Taboa Dat. '!$L$4,'Taboa Dat. '!$M$4,'Taboa Dat. '!$N$4),'Gastos de Persoal'!O112="a"),'Gastos de Persoal'!N112*('Taboa Dat. '!$J$5+'Taboa Dat. '!$J$6+'Taboa Dat. '!$J$8),IF(AND(OR(D112='Taboa Dat. '!$J$4,'Taboa Dat. '!$K$4,'Taboa Dat. '!$L$4,'Taboa Dat. '!$M$4,'Taboa Dat. '!$N$4),'Gastos de Persoal'!O112="g"),'Gastos de Persoal'!N112*('Taboa Dat. '!$J$5+'Taboa Dat. '!$J$6+'Taboa Dat. '!$J$9),'Gastos de Persoal'!N112*SUM('Taboa Dat. '!$O$5:$O$7))))</f>
        <v>#N/A</v>
      </c>
      <c r="Q112" s="37"/>
      <c r="R112" s="37" t="e">
        <f>+P112+N112-Q112</f>
        <v>#N/A</v>
      </c>
    </row>
    <row r="113" spans="1:20" ht="15" customHeight="1">
      <c r="A113" s="7"/>
      <c r="B113" s="25"/>
      <c r="C113" s="25"/>
      <c r="D113" s="25"/>
      <c r="E113" s="212"/>
      <c r="F113" s="213"/>
      <c r="G113" s="213"/>
      <c r="H113" s="37" t="e">
        <f>+VLOOKUP(B113,'Taboa Dat. '!$A$4:$C$41,3)*12*G113*F113</f>
        <v>#N/A</v>
      </c>
      <c r="I113" s="266"/>
      <c r="J113" s="37">
        <f>IF(I113="",0,+VLOOKUP(I113,'Taboa Dat. '!$H$13:$J$17,3)*12*G113*F113)</f>
        <v>0</v>
      </c>
      <c r="K113" s="37">
        <f>0*12*G113*F113</f>
        <v>0</v>
      </c>
      <c r="L113" s="37" t="e">
        <f>(+VLOOKUP(B113,'Taboa Dat. '!$A$4:D$41,4)*12*F113*G113)*2</f>
        <v>#N/A</v>
      </c>
      <c r="M113" s="37" t="e">
        <f t="shared" ref="M113" si="72">(+H113+K113+J113)*2/12</f>
        <v>#N/A</v>
      </c>
      <c r="N113" s="37" t="e">
        <f t="shared" si="69"/>
        <v>#N/A</v>
      </c>
      <c r="O113" s="214"/>
      <c r="P113" s="37" t="e">
        <f>+IF(AND(OR(D113='Taboa Dat. '!$J$4,D113='Taboa Dat. '!$K$4,D113='Taboa Dat. '!$L$4,D113='Taboa Dat. '!$M$4,D113='Taboa Dat. '!$N$4),'Gastos de Persoal'!O113=""),'Gastos de Persoal'!N113*SUM('Taboa Dat. '!$J$5:$J$7),IF(AND(OR(D113='Taboa Dat. '!$J$4,'Taboa Dat. '!$K$4,'Taboa Dat. '!$L$4,'Taboa Dat. '!$M$4,'Taboa Dat. '!$N$4),'Gastos de Persoal'!O113="a"),'Gastos de Persoal'!N113*('Taboa Dat. '!$J$5+'Taboa Dat. '!$J$6+'Taboa Dat. '!$J$8),IF(AND(OR(D113='Taboa Dat. '!$J$4,'Taboa Dat. '!$K$4,'Taboa Dat. '!$L$4,'Taboa Dat. '!$M$4,'Taboa Dat. '!$N$4),'Gastos de Persoal'!O113="g"),'Gastos de Persoal'!N113*('Taboa Dat. '!$J$5+'Taboa Dat. '!$J$6+'Taboa Dat. '!$J$9),'Gastos de Persoal'!N113*SUM('Taboa Dat. '!$O$5:$O$7))))</f>
        <v>#N/A</v>
      </c>
      <c r="Q113" s="37"/>
      <c r="R113" s="37" t="e">
        <f t="shared" ref="R113" si="73">+P113+N113-Q113</f>
        <v>#N/A</v>
      </c>
    </row>
    <row r="114" spans="1:20" ht="15" customHeight="1">
      <c r="A114" s="7"/>
      <c r="B114" s="25"/>
      <c r="C114" s="25"/>
      <c r="D114" s="25"/>
      <c r="E114" s="212"/>
      <c r="F114" s="213"/>
      <c r="G114" s="213"/>
      <c r="H114" s="37" t="e">
        <f>+VLOOKUP(B114,'Taboa Dat. '!$A$4:$C$41,3)*12*G114*F114</f>
        <v>#N/A</v>
      </c>
      <c r="I114" s="266"/>
      <c r="J114" s="37">
        <f>IF(I114="",0,+VLOOKUP(I114,'Taboa Dat. '!$H$13:$J$17,3)*12*G114*F114)</f>
        <v>0</v>
      </c>
      <c r="K114" s="37">
        <f>0*12*G114*F114</f>
        <v>0</v>
      </c>
      <c r="L114" s="37" t="e">
        <f>+VLOOKUP(B114,'Taboa Dat. '!$A$4:D$41,4)*12*F114*G114</f>
        <v>#N/A</v>
      </c>
      <c r="M114" s="37" t="e">
        <f t="shared" ref="M114:M119" si="74">(+H114+K114+J114)*2/12</f>
        <v>#N/A</v>
      </c>
      <c r="N114" s="37" t="e">
        <f t="shared" ref="N114:N119" si="75">+H114+J114+K114+M114+L114</f>
        <v>#N/A</v>
      </c>
      <c r="O114" s="214"/>
      <c r="P114" s="37" t="e">
        <f>+IF(AND(OR(D114='Taboa Dat. '!$J$4,D114='Taboa Dat. '!$K$4,D114='Taboa Dat. '!$L$4,D114='Taboa Dat. '!$M$4,D114='Taboa Dat. '!$N$4),'Gastos de Persoal'!O114=""),'Gastos de Persoal'!N114*SUM('Taboa Dat. '!$J$5:$J$7),IF(AND(OR(D114='Taboa Dat. '!$J$4,'Taboa Dat. '!$K$4,'Taboa Dat. '!$L$4,'Taboa Dat. '!$M$4,'Taboa Dat. '!$N$4),'Gastos de Persoal'!O114="a"),'Gastos de Persoal'!N114*('Taboa Dat. '!$J$5+'Taboa Dat. '!$J$6+'Taboa Dat. '!$J$8),IF(AND(OR(D114='Taboa Dat. '!$J$4,'Taboa Dat. '!$K$4,'Taboa Dat. '!$L$4,'Taboa Dat. '!$M$4,'Taboa Dat. '!$N$4),'Gastos de Persoal'!O114="g"),'Gastos de Persoal'!N114*('Taboa Dat. '!$J$5+'Taboa Dat. '!$J$6+'Taboa Dat. '!$J$9),'Gastos de Persoal'!N114*SUM('Taboa Dat. '!$O$5:$O$7))))</f>
        <v>#N/A</v>
      </c>
      <c r="Q114" s="37"/>
      <c r="R114" s="37" t="e">
        <f t="shared" ref="R114:R119" si="76">+P114+N114-Q114</f>
        <v>#N/A</v>
      </c>
    </row>
    <row r="115" spans="1:20" ht="15" customHeight="1">
      <c r="A115" s="7"/>
      <c r="B115" s="25"/>
      <c r="C115" s="25"/>
      <c r="D115" s="25"/>
      <c r="E115" s="212"/>
      <c r="F115" s="213"/>
      <c r="G115" s="213"/>
      <c r="H115" s="37" t="e">
        <f>(+VLOOKUP(B115,'Taboa Dat. '!$A$4:$C$41,3))*12*G115*F115</f>
        <v>#N/A</v>
      </c>
      <c r="I115" s="163"/>
      <c r="J115" s="37">
        <f>(IF(I115="",0,+VLOOKUP(I115,'Taboa Dat. '!$H$13:$J$18,3)*12*F115*G115))*2</f>
        <v>0</v>
      </c>
      <c r="K115" s="37">
        <f>0*(1+$R$2)*0</f>
        <v>0</v>
      </c>
      <c r="L115" s="37">
        <v>0</v>
      </c>
      <c r="M115" s="37" t="e">
        <f t="shared" ref="M115" si="77">(+H115+K115)*2/12</f>
        <v>#N/A</v>
      </c>
      <c r="N115" s="37" t="e">
        <f t="shared" si="75"/>
        <v>#N/A</v>
      </c>
      <c r="O115" s="214"/>
      <c r="P115" s="37" t="e">
        <f>+IF(AND(OR(D115='Taboa Dat. '!$J$4,D115='Taboa Dat. '!$K$4,D115='Taboa Dat. '!$L$4,D115='Taboa Dat. '!$M$4,D115='Taboa Dat. '!$N$4),'Gastos de Persoal'!O115=""),'Gastos de Persoal'!N115*SUM('Taboa Dat. '!$J$5:$J$7),IF(AND(OR(D115='Taboa Dat. '!$J$4,'Taboa Dat. '!$K$4,'Taboa Dat. '!$L$4,'Taboa Dat. '!$M$4,'Taboa Dat. '!$N$4),'Gastos de Persoal'!O115="a"),'Gastos de Persoal'!N115*('Taboa Dat. '!$J$5+'Taboa Dat. '!$J$6+'Taboa Dat. '!$J$8),IF(AND(OR(D115='Taboa Dat. '!$J$4,'Taboa Dat. '!$K$4,'Taboa Dat. '!$L$4,'Taboa Dat. '!$M$4,'Taboa Dat. '!$N$4),'Gastos de Persoal'!O115="g"),'Gastos de Persoal'!N115*('Taboa Dat. '!$J$5+'Taboa Dat. '!$J$6+'Taboa Dat. '!$J$9),'Gastos de Persoal'!N115*SUM('Taboa Dat. '!$O$5:$O$7))))</f>
        <v>#N/A</v>
      </c>
      <c r="Q115" s="37"/>
      <c r="R115" s="37" t="e">
        <f t="shared" si="76"/>
        <v>#N/A</v>
      </c>
    </row>
    <row r="116" spans="1:20" ht="15" customHeight="1">
      <c r="A116" s="257"/>
      <c r="B116" s="250"/>
      <c r="C116" s="251"/>
      <c r="D116" s="251"/>
      <c r="E116" s="252"/>
      <c r="F116" s="253"/>
      <c r="G116" s="253"/>
      <c r="H116" s="255" t="e">
        <f>(+VLOOKUP(B116,'Taboa Dat. '!$A$4:$C$41,3))*11*G116*F116</f>
        <v>#N/A</v>
      </c>
      <c r="I116" s="270"/>
      <c r="J116" s="255">
        <f>IF(I116="",0,+VLOOKUP(I116,'Taboa Dat. '!$H$13:$J$17,3)*12*F116*G116)</f>
        <v>0</v>
      </c>
      <c r="K116" s="255">
        <f t="shared" ref="K116" si="78">0*12*G116*F116</f>
        <v>0</v>
      </c>
      <c r="L116" s="255">
        <v>0</v>
      </c>
      <c r="M116" s="255" t="e">
        <f t="shared" si="74"/>
        <v>#N/A</v>
      </c>
      <c r="N116" s="255" t="e">
        <f t="shared" si="75"/>
        <v>#N/A</v>
      </c>
      <c r="O116" s="256"/>
      <c r="P116" s="255" t="e">
        <f>+IF(AND(OR(D116='Taboa Dat. '!$J$4,D116='Taboa Dat. '!$K$4,D116='Taboa Dat. '!$L$4,D116='Taboa Dat. '!$M$4,D116='Taboa Dat. '!$N$4),'Gastos de Persoal'!O116=""),'Gastos de Persoal'!N116*SUM('Taboa Dat. '!$J$5:$J$7),IF(AND(OR(D116='Taboa Dat. '!$J$4,'Taboa Dat. '!$K$4,'Taboa Dat. '!$L$4,'Taboa Dat. '!$M$4,'Taboa Dat. '!$N$4),'Gastos de Persoal'!O116="a"),'Gastos de Persoal'!N116*('Taboa Dat. '!$J$5+'Taboa Dat. '!$J$6+'Taboa Dat. '!$J$8),IF(AND(OR(D116='Taboa Dat. '!$J$4,'Taboa Dat. '!$K$4,'Taboa Dat. '!$L$4,'Taboa Dat. '!$M$4,'Taboa Dat. '!$N$4),'Gastos de Persoal'!O116="g"),'Gastos de Persoal'!N116*('Taboa Dat. '!$J$5+'Taboa Dat. '!$J$6+'Taboa Dat. '!$J$9),'Gastos de Persoal'!N116*SUM('Taboa Dat. '!$O$5:$O$7))))</f>
        <v>#N/A</v>
      </c>
      <c r="Q116" s="255"/>
      <c r="R116" s="255" t="e">
        <f t="shared" si="76"/>
        <v>#N/A</v>
      </c>
      <c r="S116" s="255">
        <f>1157.29/30*12*F116</f>
        <v>0</v>
      </c>
    </row>
    <row r="117" spans="1:20" ht="15" customHeight="1">
      <c r="A117" s="249"/>
      <c r="B117" s="250"/>
      <c r="C117" s="251"/>
      <c r="D117" s="251"/>
      <c r="E117" s="252"/>
      <c r="F117" s="253"/>
      <c r="G117" s="254"/>
      <c r="H117" s="255" t="e">
        <f>+VLOOKUP(B117,'Taboa Dat. '!$A$4:$C$41,3)*11*G117*F117</f>
        <v>#N/A</v>
      </c>
      <c r="I117" s="267"/>
      <c r="J117" s="255">
        <f>IF(I117="",0,+VLOOKUP(I117,'Taboa Dat. '!$H$13:$J$17,3)*12*F117*G117)</f>
        <v>0</v>
      </c>
      <c r="K117" s="255">
        <f>0*12*F117*G117</f>
        <v>0</v>
      </c>
      <c r="L117" s="255">
        <v>0</v>
      </c>
      <c r="M117" s="255" t="e">
        <f t="shared" si="74"/>
        <v>#N/A</v>
      </c>
      <c r="N117" s="255" t="e">
        <f>+H117+J117+K117+M117+L117</f>
        <v>#N/A</v>
      </c>
      <c r="O117" s="256"/>
      <c r="P117" s="255" t="e">
        <f>+IF(AND(OR(D117='Taboa Dat. '!$J$4,D117='Taboa Dat. '!$K$4,D117='Taboa Dat. '!$L$4,D117='Taboa Dat. '!$M$4,D117='Taboa Dat. '!$N$4),'Gastos de Persoal'!O117=""),'Gastos de Persoal'!N117*SUM('Taboa Dat. '!$J$5:$J$7),IF(AND(OR(D117='Taboa Dat. '!$J$4,'Taboa Dat. '!$K$4,'Taboa Dat. '!$L$4,'Taboa Dat. '!$M$4,'Taboa Dat. '!$N$4),'Gastos de Persoal'!O117="a"),'Gastos de Persoal'!N117*('Taboa Dat. '!$J$5+'Taboa Dat. '!$J$6+'Taboa Dat. '!$J$8),IF(AND(OR(D117='Taboa Dat. '!$J$4,'Taboa Dat. '!$K$4,'Taboa Dat. '!$L$4,'Taboa Dat. '!$M$4,'Taboa Dat. '!$N$4),'Gastos de Persoal'!O117="g"),'Gastos de Persoal'!N117*('Taboa Dat. '!$J$5+'Taboa Dat. '!$J$6+'Taboa Dat. '!$J$9),'Gastos de Persoal'!N117*SUM('Taboa Dat. '!$O$5:$O$7))))</f>
        <v>#N/A</v>
      </c>
      <c r="Q117" s="255"/>
      <c r="R117" s="255" t="e">
        <f>+P117+N117-Q117</f>
        <v>#N/A</v>
      </c>
      <c r="S117" s="255">
        <f>1233.56/30*12*F117</f>
        <v>0</v>
      </c>
      <c r="T117" s="138"/>
    </row>
    <row r="118" spans="1:20" ht="15" customHeight="1">
      <c r="A118" s="258"/>
      <c r="B118" s="259"/>
      <c r="C118" s="259"/>
      <c r="D118" s="259"/>
      <c r="E118" s="260"/>
      <c r="F118" s="216"/>
      <c r="G118" s="216"/>
      <c r="H118" s="261" t="e">
        <f>(+VLOOKUP(B118,'Taboa Dat. '!$A$4:$C$41,3))*4*G118*F118</f>
        <v>#N/A</v>
      </c>
      <c r="I118" s="269"/>
      <c r="J118" s="261">
        <f>IF(I118="",0,+VLOOKUP(I118,'Taboa Dat. '!$H$13:$J$17,3)*12*F118*G118)</f>
        <v>0</v>
      </c>
      <c r="K118" s="261">
        <f>0*12*G118*F118</f>
        <v>0</v>
      </c>
      <c r="L118" s="261">
        <v>0</v>
      </c>
      <c r="M118" s="261" t="e">
        <f t="shared" si="74"/>
        <v>#N/A</v>
      </c>
      <c r="N118" s="261" t="e">
        <f t="shared" si="75"/>
        <v>#N/A</v>
      </c>
      <c r="O118" s="262"/>
      <c r="P118" s="261" t="e">
        <f>+IF(AND(OR(D118='Taboa Dat. '!$J$4,D118='Taboa Dat. '!$K$4,D118='Taboa Dat. '!$L$4,D118='Taboa Dat. '!$M$4,D118='Taboa Dat. '!$N$4),'Gastos de Persoal'!O118=""),'Gastos de Persoal'!N118*SUM('Taboa Dat. '!$J$5:$J$7),IF(AND(OR(D118='Taboa Dat. '!$J$4,'Taboa Dat. '!$K$4,'Taboa Dat. '!$L$4,'Taboa Dat. '!$M$4,'Taboa Dat. '!$N$4),'Gastos de Persoal'!O118="a"),'Gastos de Persoal'!N118*('Taboa Dat. '!$J$5+'Taboa Dat. '!$J$6+'Taboa Dat. '!$J$8),IF(AND(OR(D118='Taboa Dat. '!$J$4,'Taboa Dat. '!$K$4,'Taboa Dat. '!$L$4,'Taboa Dat. '!$M$4,'Taboa Dat. '!$N$4),'Gastos de Persoal'!O118="g"),'Gastos de Persoal'!N118*('Taboa Dat. '!$J$5+'Taboa Dat. '!$J$6+'Taboa Dat. '!$J$9),'Gastos de Persoal'!N118*SUM('Taboa Dat. '!$O$5:$O$7))))</f>
        <v>#N/A</v>
      </c>
      <c r="Q118" s="261"/>
      <c r="R118" s="261" t="e">
        <f t="shared" si="76"/>
        <v>#N/A</v>
      </c>
      <c r="S118" s="261" t="e">
        <f t="shared" ref="S118:S119" si="79">(H118/4/30)*12*7/12</f>
        <v>#N/A</v>
      </c>
      <c r="T118" s="170"/>
    </row>
    <row r="119" spans="1:20" ht="15" customHeight="1">
      <c r="A119" s="258"/>
      <c r="B119" s="259"/>
      <c r="C119" s="259"/>
      <c r="D119" s="259"/>
      <c r="E119" s="260"/>
      <c r="F119" s="216"/>
      <c r="G119" s="216"/>
      <c r="H119" s="261" t="e">
        <f>(+VLOOKUP(B119,'Taboa Dat. '!$A$4:$C$41,3))*4*G119*F119</f>
        <v>#N/A</v>
      </c>
      <c r="I119" s="269"/>
      <c r="J119" s="261">
        <f>IF(I119="",0,+VLOOKUP(I119,'Taboa Dat. '!$H$13:$J$17,3)*12*F119*G119)</f>
        <v>0</v>
      </c>
      <c r="K119" s="261">
        <f>0*12*G119*F119</f>
        <v>0</v>
      </c>
      <c r="L119" s="261">
        <v>0</v>
      </c>
      <c r="M119" s="261" t="e">
        <f t="shared" si="74"/>
        <v>#N/A</v>
      </c>
      <c r="N119" s="261" t="e">
        <f t="shared" si="75"/>
        <v>#N/A</v>
      </c>
      <c r="O119" s="262"/>
      <c r="P119" s="261" t="e">
        <f>+IF(AND(OR(D119='Taboa Dat. '!$J$4,D119='Taboa Dat. '!$K$4,D119='Taboa Dat. '!$L$4,D119='Taboa Dat. '!$M$4,D119='Taboa Dat. '!$N$4),'Gastos de Persoal'!O119=""),'Gastos de Persoal'!N119*SUM('Taboa Dat. '!$J$5:$J$7),IF(AND(OR(D119='Taboa Dat. '!$J$4,'Taboa Dat. '!$K$4,'Taboa Dat. '!$L$4,'Taboa Dat. '!$M$4,'Taboa Dat. '!$N$4),'Gastos de Persoal'!O119="a"),'Gastos de Persoal'!N119*('Taboa Dat. '!$J$5+'Taboa Dat. '!$J$6+'Taboa Dat. '!$J$8),IF(AND(OR(D119='Taboa Dat. '!$J$4,'Taboa Dat. '!$K$4,'Taboa Dat. '!$L$4,'Taboa Dat. '!$M$4,'Taboa Dat. '!$N$4),'Gastos de Persoal'!O119="g"),'Gastos de Persoal'!N119*('Taboa Dat. '!$J$5+'Taboa Dat. '!$J$6+'Taboa Dat. '!$J$9),'Gastos de Persoal'!N119*SUM('Taboa Dat. '!$O$5:$O$7))))</f>
        <v>#N/A</v>
      </c>
      <c r="Q119" s="261"/>
      <c r="R119" s="261" t="e">
        <f t="shared" si="76"/>
        <v>#N/A</v>
      </c>
      <c r="S119" s="261" t="e">
        <f t="shared" si="79"/>
        <v>#N/A</v>
      </c>
      <c r="T119" s="170"/>
    </row>
    <row r="120" spans="1:20" ht="15" customHeight="1">
      <c r="A120" s="227" t="s">
        <v>260</v>
      </c>
      <c r="B120" s="227"/>
      <c r="C120" s="227"/>
      <c r="D120" s="227"/>
      <c r="E120" s="227"/>
      <c r="F120" s="227"/>
      <c r="G120" s="213"/>
      <c r="H120" s="38" t="e">
        <f>SUM(H105:H119)</f>
        <v>#N/A</v>
      </c>
      <c r="I120" s="38"/>
      <c r="J120" s="38">
        <f>SUM(J105:J119)</f>
        <v>0</v>
      </c>
      <c r="K120" s="38">
        <f>SUM(K105:K119)</f>
        <v>0</v>
      </c>
      <c r="L120" s="38" t="e">
        <f>SUM(L105:L119)</f>
        <v>#N/A</v>
      </c>
      <c r="M120" s="38" t="e">
        <f>SUM(M105:M119)</f>
        <v>#N/A</v>
      </c>
      <c r="N120" s="38" t="e">
        <f>SUM(N105:N119)</f>
        <v>#N/A</v>
      </c>
      <c r="O120" s="38">
        <f t="shared" ref="O120" si="80">SUM(O105:O119)</f>
        <v>0</v>
      </c>
      <c r="P120" s="38" t="e">
        <f>SUM(P105:P119)</f>
        <v>#N/A</v>
      </c>
      <c r="Q120" s="38">
        <f>SUM(Q105:Q119)</f>
        <v>0</v>
      </c>
      <c r="R120" s="38" t="e">
        <f>SUM(R105:R119)</f>
        <v>#N/A</v>
      </c>
      <c r="S120" s="38" t="e">
        <f>SUM(S105:S119)</f>
        <v>#N/A</v>
      </c>
    </row>
    <row r="121" spans="1:20" ht="10.5" customHeight="1">
      <c r="A121" s="48" t="s">
        <v>261</v>
      </c>
      <c r="B121" s="48"/>
      <c r="C121" s="48"/>
      <c r="D121" s="48"/>
      <c r="E121" s="48"/>
      <c r="F121" s="48"/>
      <c r="G121" s="48"/>
      <c r="R121" s="11"/>
    </row>
    <row r="122" spans="1:20" ht="27.75" customHeight="1"/>
    <row r="123" spans="1:20" ht="25.5">
      <c r="A123" s="8" t="s">
        <v>241</v>
      </c>
      <c r="B123" s="8"/>
      <c r="C123" s="8"/>
      <c r="D123" s="8"/>
      <c r="E123" s="8"/>
      <c r="F123" s="8"/>
      <c r="G123" s="8"/>
      <c r="H123" s="8" t="s">
        <v>247</v>
      </c>
      <c r="I123" s="265"/>
      <c r="J123" s="8"/>
      <c r="K123" s="209" t="s">
        <v>249</v>
      </c>
      <c r="L123" s="209" t="s">
        <v>250</v>
      </c>
      <c r="M123" s="8" t="s">
        <v>251</v>
      </c>
      <c r="N123" s="8" t="s">
        <v>252</v>
      </c>
      <c r="O123" s="8"/>
      <c r="P123" s="9" t="s">
        <v>254</v>
      </c>
      <c r="Q123" s="211" t="s">
        <v>255</v>
      </c>
      <c r="R123" s="9" t="s">
        <v>256</v>
      </c>
    </row>
    <row r="124" spans="1:20" ht="15" customHeight="1">
      <c r="A124" s="7"/>
      <c r="B124" s="25"/>
      <c r="C124" s="25"/>
      <c r="D124" s="25"/>
      <c r="E124" s="212"/>
      <c r="F124" s="213"/>
      <c r="G124" s="213"/>
      <c r="H124" s="37">
        <f>+VLOOKUP(B124,'Taboa Dat. '!$A$3:$C$41,3)*12*G124*F124</f>
        <v>0</v>
      </c>
      <c r="I124" s="163"/>
      <c r="J124" s="37">
        <f>IF(I124="",0,+VLOOKUP(I124,'Taboa Dat. '!$H$13:$J$17,3)*12*F124*G124)</f>
        <v>0</v>
      </c>
      <c r="K124" s="37">
        <f>202.85*12*G124*F124</f>
        <v>0</v>
      </c>
      <c r="L124" s="37" t="e">
        <f>(+VLOOKUP(B124,'Taboa Dat. '!$A$4:D$41,4)*12*F124*G124)*2</f>
        <v>#N/A</v>
      </c>
      <c r="M124" s="37">
        <f t="shared" ref="M124" si="81">(+H124+K124+J124)*2/12</f>
        <v>0</v>
      </c>
      <c r="N124" s="37" t="e">
        <f t="shared" ref="N124:N127" si="82">+H124+J124+K124+M124+L124</f>
        <v>#N/A</v>
      </c>
      <c r="O124" s="214" t="s">
        <v>263</v>
      </c>
      <c r="P124" s="37" t="e">
        <f>+IF(AND(OR(D124='Taboa Dat. '!$J$4,D124='Taboa Dat. '!$K$4,D124='Taboa Dat. '!$L$4,D124='Taboa Dat. '!$M$4,D124='Taboa Dat. '!$N$4),'Gastos de Persoal'!O124=""),'Gastos de Persoal'!N124*SUM('Taboa Dat. '!$J$5:$J$7),IF(AND(OR(D124='Taboa Dat. '!$J$4,'Taboa Dat. '!$K$4,'Taboa Dat. '!$L$4,'Taboa Dat. '!$M$4,'Taboa Dat. '!$N$4),'Gastos de Persoal'!O124="a"),'Gastos de Persoal'!N124*('Taboa Dat. '!$J$5+'Taboa Dat. '!$J$6+'Taboa Dat. '!$J$8),IF(AND(OR(D124='Taboa Dat. '!$J$4,'Taboa Dat. '!$K$4,'Taboa Dat. '!$L$4,'Taboa Dat. '!$M$4,'Taboa Dat. '!$N$4),'Gastos de Persoal'!O124="g"),'Gastos de Persoal'!N124*('Taboa Dat. '!$J$5+'Taboa Dat. '!$J$6+'Taboa Dat. '!$J$9),'Gastos de Persoal'!N124*SUM('Taboa Dat. '!$O$5:$O$7))))</f>
        <v>#N/A</v>
      </c>
      <c r="Q124" s="37"/>
      <c r="R124" s="37" t="e">
        <f t="shared" ref="R124" si="83">+P124+N124-Q124</f>
        <v>#N/A</v>
      </c>
    </row>
    <row r="125" spans="1:20" ht="15" customHeight="1">
      <c r="A125" s="7"/>
      <c r="B125" s="25"/>
      <c r="C125" s="25"/>
      <c r="D125" s="25"/>
      <c r="E125" s="212"/>
      <c r="F125" s="213"/>
      <c r="G125" s="213"/>
      <c r="H125" s="37">
        <f>+VLOOKUP(B125,'Taboa Dat. '!$A$3:$C$41,3)*12*G125*F125</f>
        <v>0</v>
      </c>
      <c r="I125" s="163"/>
      <c r="J125" s="37">
        <f>IF(I125="",0,+VLOOKUP(I125,'Taboa Dat. '!$H$13:$J$17,3)*12*F125*G125)</f>
        <v>0</v>
      </c>
      <c r="K125" s="37">
        <f>90.823*12*G125*F125</f>
        <v>0</v>
      </c>
      <c r="L125" s="37" t="e">
        <f>(+VLOOKUP(B125,'Taboa Dat. '!$A$4:D$41,4)*12*F125*G125)*2</f>
        <v>#N/A</v>
      </c>
      <c r="M125" s="37">
        <f>(+H125+K125+J125)*2/12</f>
        <v>0</v>
      </c>
      <c r="N125" s="37" t="e">
        <f t="shared" si="82"/>
        <v>#N/A</v>
      </c>
      <c r="O125" s="214" t="s">
        <v>263</v>
      </c>
      <c r="P125" s="37" t="e">
        <f>+IF(AND(OR(D125='Taboa Dat. '!$J$4,D125='Taboa Dat. '!$K$4,D125='Taboa Dat. '!$L$4,D125='Taboa Dat. '!$M$4,D125='Taboa Dat. '!$N$4),'Gastos de Persoal'!O125=""),'Gastos de Persoal'!N125*SUM('Taboa Dat. '!$J$5:$J$7),IF(AND(OR(D125='Taboa Dat. '!$J$4,'Taboa Dat. '!$K$4,'Taboa Dat. '!$L$4,'Taboa Dat. '!$M$4,'Taboa Dat. '!$N$4),'Gastos de Persoal'!O125="a"),'Gastos de Persoal'!N125*('Taboa Dat. '!$J$5+'Taboa Dat. '!$J$6+'Taboa Dat. '!$J$8),IF(AND(OR(D125='Taboa Dat. '!$J$4,'Taboa Dat. '!$K$4,'Taboa Dat. '!$L$4,'Taboa Dat. '!$M$4,'Taboa Dat. '!$N$4),'Gastos de Persoal'!O125="g"),'Gastos de Persoal'!N125*('Taboa Dat. '!$J$5+'Taboa Dat. '!$J$6+'Taboa Dat. '!$J$9),'Gastos de Persoal'!N125*SUM('Taboa Dat. '!$O$5:$O$7))))</f>
        <v>#N/A</v>
      </c>
      <c r="Q125" s="37"/>
      <c r="R125" s="37" t="e">
        <f>+P125+N125-Q125</f>
        <v>#N/A</v>
      </c>
    </row>
    <row r="126" spans="1:20" ht="15" customHeight="1">
      <c r="A126" s="159"/>
      <c r="B126" s="215"/>
      <c r="C126" s="25"/>
      <c r="D126" s="25"/>
      <c r="E126" s="212"/>
      <c r="F126" s="213"/>
      <c r="G126" s="221"/>
      <c r="H126" s="37">
        <f>+VLOOKUP(B126,'Taboa Dat. '!$A$3:$C$41,3)*12*G126*F126</f>
        <v>0</v>
      </c>
      <c r="I126" s="163"/>
      <c r="J126" s="37">
        <f>IF(I126="",0,+VLOOKUP(I126,'Taboa Dat. '!$H$13:$J$17,3)*12*F126*G126)</f>
        <v>0</v>
      </c>
      <c r="K126" s="37">
        <f>0*12*F126*G126</f>
        <v>0</v>
      </c>
      <c r="L126" s="37" t="e">
        <f>(+VLOOKUP(B126,'Taboa Dat. '!$A$4:D$41,4)+16.01)*12*F126*G126</f>
        <v>#N/A</v>
      </c>
      <c r="M126" s="37">
        <f>(+H126+K126+J126)*2/12</f>
        <v>0</v>
      </c>
      <c r="N126" s="37" t="e">
        <f>+H126+J126+K126+M126+L126</f>
        <v>#N/A</v>
      </c>
      <c r="O126" s="214"/>
      <c r="P126" s="37" t="e">
        <f>+IF(AND(OR(D126='Taboa Dat. '!$J$4,D126='Taboa Dat. '!$K$4,D126='Taboa Dat. '!$L$4,D126='Taboa Dat. '!$M$4,D126='Taboa Dat. '!$N$4),'Gastos de Persoal'!O126=""),'Gastos de Persoal'!N126*SUM('Taboa Dat. '!$J$5:$J$7),IF(AND(OR(D126='Taboa Dat. '!$J$4,'Taboa Dat. '!$K$4,'Taboa Dat. '!$L$4,'Taboa Dat. '!$M$4,'Taboa Dat. '!$N$4),'Gastos de Persoal'!O126="a"),'Gastos de Persoal'!N126*('Taboa Dat. '!$J$5+'Taboa Dat. '!$J$6+'Taboa Dat. '!$J$8),IF(AND(OR(D126='Taboa Dat. '!$J$4,'Taboa Dat. '!$K$4,'Taboa Dat. '!$L$4,'Taboa Dat. '!$M$4,'Taboa Dat. '!$N$4),'Gastos de Persoal'!O126="g"),'Gastos de Persoal'!N126*('Taboa Dat. '!$J$5+'Taboa Dat. '!$J$6+'Taboa Dat. '!$J$9),'Gastos de Persoal'!N126*SUM('Taboa Dat. '!$O$5:$O$7))))</f>
        <v>#N/A</v>
      </c>
      <c r="Q126" s="37"/>
      <c r="R126" s="37" t="e">
        <f>+P126+N126-Q126</f>
        <v>#N/A</v>
      </c>
      <c r="T126" s="138"/>
    </row>
    <row r="127" spans="1:20" ht="15" customHeight="1">
      <c r="A127" s="7"/>
      <c r="B127" s="25"/>
      <c r="C127" s="25"/>
      <c r="D127" s="25"/>
      <c r="E127" s="212"/>
      <c r="F127" s="213"/>
      <c r="G127" s="213"/>
      <c r="H127" s="37">
        <f>+VLOOKUP(B127,'Taboa Dat. '!$A$3:$C$41,3)*12*G127*F127</f>
        <v>0</v>
      </c>
      <c r="I127" s="163"/>
      <c r="J127" s="37">
        <f>IF(I127="",0,+VLOOKUP(I127,'Taboa Dat. '!$H$13:$J$17,3)*12*F127*G127)</f>
        <v>0</v>
      </c>
      <c r="K127" s="37">
        <f t="shared" ref="K127" si="84">0*(1+$R$2)*0</f>
        <v>0</v>
      </c>
      <c r="L127" s="37" t="e">
        <f>(+VLOOKUP(B127,'Taboa Dat. '!$A$4:D$41,4)*12*F127*G127)*2</f>
        <v>#N/A</v>
      </c>
      <c r="M127" s="37">
        <f>(+H127+K127+J127)*2/12</f>
        <v>0</v>
      </c>
      <c r="N127" s="37" t="e">
        <f t="shared" si="82"/>
        <v>#N/A</v>
      </c>
      <c r="O127" s="214"/>
      <c r="P127" s="37" t="e">
        <f>+IF(AND(OR(D127='Taboa Dat. '!$J$4,D127='Taboa Dat. '!$K$4,D127='Taboa Dat. '!$L$4,D127='Taboa Dat. '!$M$4,D127='Taboa Dat. '!$N$4),'Gastos de Persoal'!O127=""),'Gastos de Persoal'!N127*SUM('Taboa Dat. '!$J$5:$J$7),IF(AND(OR(D127='Taboa Dat. '!$J$4,'Taboa Dat. '!$K$4,'Taboa Dat. '!$L$4,'Taboa Dat. '!$M$4,'Taboa Dat. '!$N$4),'Gastos de Persoal'!O127="a"),'Gastos de Persoal'!N127*('Taboa Dat. '!$J$5+'Taboa Dat. '!$J$6+'Taboa Dat. '!$J$8),IF(AND(OR(D127='Taboa Dat. '!$J$4,'Taboa Dat. '!$K$4,'Taboa Dat. '!$L$4,'Taboa Dat. '!$M$4,'Taboa Dat. '!$N$4),'Gastos de Persoal'!O127="g"),'Gastos de Persoal'!N127*('Taboa Dat. '!$J$5+'Taboa Dat. '!$J$6+'Taboa Dat. '!$J$9),'Gastos de Persoal'!N127*SUM('Taboa Dat. '!$O$5:$O$7))))</f>
        <v>#N/A</v>
      </c>
      <c r="Q127" s="37"/>
      <c r="R127" s="37" t="e">
        <f>+P127+N127-Q127</f>
        <v>#N/A</v>
      </c>
    </row>
    <row r="128" spans="1:20" ht="15" customHeight="1">
      <c r="A128" s="7"/>
      <c r="B128" s="25"/>
      <c r="C128" s="25"/>
      <c r="D128" s="25"/>
      <c r="E128" s="212"/>
      <c r="F128" s="213"/>
      <c r="G128" s="213"/>
      <c r="H128" s="37">
        <f>+VLOOKUP(B128,'Taboa Dat. '!$A$3:$C$41,3)*12*G128*F128</f>
        <v>0</v>
      </c>
      <c r="I128" s="163"/>
      <c r="J128" s="37">
        <f>IF(I128="",0,+VLOOKUP(I128,'Taboa Dat. '!$H$13:$J$17,3)*12*G128*F128)</f>
        <v>0</v>
      </c>
      <c r="K128" s="37">
        <f>32.46*12*G128*F128</f>
        <v>0</v>
      </c>
      <c r="L128" s="37" t="e">
        <f>(+VLOOKUP(B128,'Taboa Dat. '!$A$4:D$41,4)*12*F128*G128)*2</f>
        <v>#N/A</v>
      </c>
      <c r="M128" s="37">
        <f>(+H128+K128+J128)*2/12</f>
        <v>0</v>
      </c>
      <c r="N128" s="37" t="e">
        <f t="shared" ref="N128:N130" si="85">+H128+J128+K128+M128+L128</f>
        <v>#N/A</v>
      </c>
      <c r="O128" s="214"/>
      <c r="P128" s="37" t="e">
        <f>+IF(AND(OR(D128='Taboa Dat. '!$J$4,D128='Taboa Dat. '!$K$4,D128='Taboa Dat. '!$L$4,D128='Taboa Dat. '!$M$4,D128='Taboa Dat. '!$N$4),'Gastos de Persoal'!O128=""),'Gastos de Persoal'!N128*SUM('Taboa Dat. '!$J$5:$J$7),IF(AND(OR(D128='Taboa Dat. '!$J$4,'Taboa Dat. '!$K$4,'Taboa Dat. '!$L$4,'Taboa Dat. '!$M$4,'Taboa Dat. '!$N$4),'Gastos de Persoal'!O128="a"),'Gastos de Persoal'!N128*('Taboa Dat. '!$J$5+'Taboa Dat. '!$J$6+'Taboa Dat. '!$J$8),IF(AND(OR(D128='Taboa Dat. '!$J$4,'Taboa Dat. '!$K$4,'Taboa Dat. '!$L$4,'Taboa Dat. '!$M$4,'Taboa Dat. '!$N$4),'Gastos de Persoal'!O128="g"),'Gastos de Persoal'!N128*('Taboa Dat. '!$J$5+'Taboa Dat. '!$J$6+'Taboa Dat. '!$J$9),'Gastos de Persoal'!N128*SUM('Taboa Dat. '!$O$5:$O$7))))</f>
        <v>#N/A</v>
      </c>
      <c r="Q128" s="37"/>
      <c r="R128" s="37" t="e">
        <f>+P128+N128-Q128</f>
        <v>#N/A</v>
      </c>
    </row>
    <row r="129" spans="1:19" ht="15" customHeight="1">
      <c r="A129" s="7"/>
      <c r="B129" s="25"/>
      <c r="C129" s="25"/>
      <c r="D129" s="25"/>
      <c r="E129" s="212"/>
      <c r="F129" s="213"/>
      <c r="G129" s="213"/>
      <c r="H129" s="37">
        <f>+VLOOKUP(B129,'Taboa Dat. '!$A$3:$C$41,3)*12*G129*F129</f>
        <v>0</v>
      </c>
      <c r="I129" s="163"/>
      <c r="J129" s="37">
        <f>IF(I129="",0,+VLOOKUP(I129,'Taboa Dat. '!$H$13:$J$17,3)*12*G129*F129)</f>
        <v>0</v>
      </c>
      <c r="K129" s="37">
        <f t="shared" ref="K129:K130" si="86">0*(1+$R$2)*0</f>
        <v>0</v>
      </c>
      <c r="L129" s="37" t="e">
        <f>+VLOOKUP(B129,'Taboa Dat. '!$A$4:D$41,4)*12*F129*G129</f>
        <v>#N/A</v>
      </c>
      <c r="M129" s="37">
        <f t="shared" ref="M129:M130" si="87">(+H129+K129+J129)*2/12</f>
        <v>0</v>
      </c>
      <c r="N129" s="37" t="e">
        <f t="shared" si="85"/>
        <v>#N/A</v>
      </c>
      <c r="O129" s="214"/>
      <c r="P129" s="37" t="e">
        <f>+IF(AND(OR(D129='Taboa Dat. '!$J$4,D129='Taboa Dat. '!$K$4,D129='Taboa Dat. '!$L$4,D129='Taboa Dat. '!$M$4,D129='Taboa Dat. '!$N$4),'Gastos de Persoal'!O129=""),'Gastos de Persoal'!N129*SUM('Taboa Dat. '!$J$5:$J$7),IF(AND(OR(D129='Taboa Dat. '!$J$4,'Taboa Dat. '!$K$4,'Taboa Dat. '!$L$4,'Taboa Dat. '!$M$4,'Taboa Dat. '!$N$4),'Gastos de Persoal'!O129="a"),'Gastos de Persoal'!N129*('Taboa Dat. '!$J$5+'Taboa Dat. '!$J$6+'Taboa Dat. '!$J$8),IF(AND(OR(D129='Taboa Dat. '!$J$4,'Taboa Dat. '!$K$4,'Taboa Dat. '!$L$4,'Taboa Dat. '!$M$4,'Taboa Dat. '!$N$4),'Gastos de Persoal'!O129="g"),'Gastos de Persoal'!N129*('Taboa Dat. '!$J$5+'Taboa Dat. '!$J$6+'Taboa Dat. '!$J$9),'Gastos de Persoal'!N129*SUM('Taboa Dat. '!$O$5:$O$7))))</f>
        <v>#N/A</v>
      </c>
      <c r="Q129" s="37"/>
      <c r="R129" s="37" t="e">
        <f t="shared" ref="R129" si="88">+P129+N129-Q129</f>
        <v>#N/A</v>
      </c>
    </row>
    <row r="130" spans="1:19" ht="24.75" hidden="1" customHeight="1">
      <c r="A130" s="7"/>
      <c r="B130" s="25"/>
      <c r="C130" s="25"/>
      <c r="D130" s="25"/>
      <c r="E130" s="212"/>
      <c r="F130" s="213"/>
      <c r="G130" s="213"/>
      <c r="H130" s="37">
        <f>+VLOOKUP(B130,'Taboa Dat. '!$A$3:$C$41,3)*12*G130*F130</f>
        <v>0</v>
      </c>
      <c r="I130" s="163"/>
      <c r="J130" s="37">
        <f>IF(I130="",0,+VLOOKUP(I130,'Taboa Dat. '!$H$13:$J$17,3)*12*G130*F130)</f>
        <v>0</v>
      </c>
      <c r="K130" s="37">
        <f t="shared" si="86"/>
        <v>0</v>
      </c>
      <c r="L130" s="37">
        <v>0</v>
      </c>
      <c r="M130" s="37">
        <f t="shared" si="87"/>
        <v>0</v>
      </c>
      <c r="N130" s="37">
        <f t="shared" si="85"/>
        <v>0</v>
      </c>
      <c r="O130" s="214"/>
      <c r="P130" s="37">
        <f>+IF(AND(OR(D130='Taboa Dat. '!$J$4,D130='Taboa Dat. '!$K$4,D130='Taboa Dat. '!$L$4,D130='Taboa Dat. '!$M$4,D130='Taboa Dat. '!$N$4),'Gastos de Persoal'!O130=""),'Gastos de Persoal'!N130*SUM('Taboa Dat. '!$J$5:$J$7),IF(AND(OR(D130='Taboa Dat. '!$J$4,'Taboa Dat. '!$K$4,'Taboa Dat. '!$L$4,'Taboa Dat. '!$M$4,'Taboa Dat. '!$N$4),'Gastos de Persoal'!O130="a"),'Gastos de Persoal'!N130*('Taboa Dat. '!$J$5+'Taboa Dat. '!$J$6+'Taboa Dat. '!$J$8),IF(AND(OR(D130='Taboa Dat. '!$J$4,'Taboa Dat. '!$K$4,'Taboa Dat. '!$L$4,'Taboa Dat. '!$M$4,'Taboa Dat. '!$N$4),'Gastos de Persoal'!O130="g"),'Gastos de Persoal'!N130*('Taboa Dat. '!$J$5+'Taboa Dat. '!$J$6+'Taboa Dat. '!$J$9),'Gastos de Persoal'!N130*SUM('Taboa Dat. '!$O$5:$O$7))))</f>
        <v>0</v>
      </c>
      <c r="Q130" s="37"/>
      <c r="R130" s="37">
        <f t="shared" ref="R130" si="89">+P130+N130-Q130</f>
        <v>0</v>
      </c>
    </row>
    <row r="131" spans="1:19" ht="12.75">
      <c r="A131" s="227" t="s">
        <v>260</v>
      </c>
      <c r="B131" s="227"/>
      <c r="C131" s="227"/>
      <c r="D131" s="227"/>
      <c r="E131" s="227"/>
      <c r="F131" s="227"/>
      <c r="G131" s="227"/>
      <c r="H131" s="38">
        <f>SUM(H124:H130)</f>
        <v>0</v>
      </c>
      <c r="I131" s="268"/>
      <c r="J131" s="38">
        <f t="shared" ref="J131:R131" si="90">SUM(J124:J130)</f>
        <v>0</v>
      </c>
      <c r="K131" s="38">
        <f t="shared" si="90"/>
        <v>0</v>
      </c>
      <c r="L131" s="38" t="e">
        <f t="shared" si="90"/>
        <v>#N/A</v>
      </c>
      <c r="M131" s="38">
        <f t="shared" si="90"/>
        <v>0</v>
      </c>
      <c r="N131" s="38" t="e">
        <f t="shared" si="90"/>
        <v>#N/A</v>
      </c>
      <c r="O131" s="38">
        <f t="shared" si="90"/>
        <v>0</v>
      </c>
      <c r="P131" s="38" t="e">
        <f t="shared" si="90"/>
        <v>#N/A</v>
      </c>
      <c r="Q131" s="38">
        <f t="shared" si="90"/>
        <v>0</v>
      </c>
      <c r="R131" s="38" t="e">
        <f t="shared" si="90"/>
        <v>#N/A</v>
      </c>
    </row>
    <row r="132" spans="1:19" ht="25.5" customHeight="1">
      <c r="A132" s="7"/>
      <c r="B132" s="7"/>
      <c r="C132" s="7"/>
      <c r="D132" s="7"/>
      <c r="E132" s="7"/>
      <c r="F132" s="7"/>
      <c r="G132" s="7"/>
    </row>
    <row r="133" spans="1:19" ht="23.25">
      <c r="A133" s="229" t="s">
        <v>269</v>
      </c>
      <c r="B133" s="230"/>
      <c r="C133" s="230"/>
      <c r="D133" s="48"/>
      <c r="E133" s="48"/>
      <c r="F133" s="48"/>
      <c r="G133" s="48"/>
      <c r="R133" s="11"/>
    </row>
    <row r="134" spans="1:19" ht="10.5" customHeight="1">
      <c r="A134" s="48" t="s">
        <v>240</v>
      </c>
      <c r="B134" s="48"/>
      <c r="C134" s="48"/>
      <c r="D134" s="48"/>
      <c r="E134" s="48"/>
      <c r="F134" s="48"/>
      <c r="G134" s="48"/>
      <c r="R134" s="11"/>
    </row>
    <row r="135" spans="1:19" ht="24.75" customHeight="1"/>
    <row r="136" spans="1:19" ht="25.5">
      <c r="A136" s="8" t="s">
        <v>241</v>
      </c>
      <c r="B136" s="8"/>
      <c r="C136" s="8"/>
      <c r="D136" s="8"/>
      <c r="E136" s="8"/>
      <c r="F136" s="8"/>
      <c r="G136" s="8"/>
      <c r="H136" s="8" t="s">
        <v>247</v>
      </c>
      <c r="I136" s="265"/>
      <c r="J136" s="8"/>
      <c r="K136" s="209" t="s">
        <v>249</v>
      </c>
      <c r="L136" s="209" t="s">
        <v>250</v>
      </c>
      <c r="M136" s="8" t="s">
        <v>251</v>
      </c>
      <c r="N136" s="8" t="s">
        <v>252</v>
      </c>
      <c r="O136" s="8"/>
      <c r="P136" s="9" t="s">
        <v>254</v>
      </c>
      <c r="Q136" s="211" t="s">
        <v>255</v>
      </c>
      <c r="R136" s="9" t="s">
        <v>256</v>
      </c>
    </row>
    <row r="137" spans="1:19" ht="15" customHeight="1">
      <c r="A137" s="7"/>
      <c r="B137" s="25"/>
      <c r="C137" s="25"/>
      <c r="D137" s="25"/>
      <c r="E137" s="212"/>
      <c r="F137" s="213"/>
      <c r="G137" s="213"/>
      <c r="H137" s="37" t="e">
        <f>+VLOOKUP(B137,'Taboa Dat. '!$A$4:$C$41,3)*12*G137*F137</f>
        <v>#N/A</v>
      </c>
      <c r="I137" s="266"/>
      <c r="J137" s="37">
        <f>IF(I137="",0,+VLOOKUP(I137,'Taboa Dat. '!$H$13:$J$17,3)*12*F137*G137)</f>
        <v>0</v>
      </c>
      <c r="K137" s="37">
        <f>490.96*12*G137*F137</f>
        <v>0</v>
      </c>
      <c r="L137" s="37" t="e">
        <f>(+VLOOKUP(B137,'Taboa Dat. '!$A$4:D$41,4)*12*F137*G137)*2</f>
        <v>#N/A</v>
      </c>
      <c r="M137" s="37" t="e">
        <f t="shared" ref="M137:M138" si="91">(+H137+K137+J137)*2/12</f>
        <v>#N/A</v>
      </c>
      <c r="N137" s="37" t="e">
        <f t="shared" ref="N137:N138" si="92">+H137+J137+K137+M137+L137</f>
        <v>#N/A</v>
      </c>
      <c r="O137" s="214"/>
      <c r="P137" s="37" t="e">
        <f>+IF(AND(OR(D137='Taboa Dat. '!$J$4,D137='Taboa Dat. '!$K$4,D137='Taboa Dat. '!$L$4,D137='Taboa Dat. '!$M$4,D137='Taboa Dat. '!$N$4),'Gastos de Persoal'!O137=""),'Gastos de Persoal'!N137*SUM('Taboa Dat. '!$J$5:$J$7),IF(AND(OR(D137='Taboa Dat. '!$J$4,'Taboa Dat. '!$K$4,'Taboa Dat. '!$L$4,'Taboa Dat. '!$M$4,'Taboa Dat. '!$N$4),'Gastos de Persoal'!O137="a"),'Gastos de Persoal'!N137*('Taboa Dat. '!$J$5+'Taboa Dat. '!$J$6+'Taboa Dat. '!$J$8),IF(AND(OR(D137='Taboa Dat. '!$J$4,'Taboa Dat. '!$K$4,'Taboa Dat. '!$L$4,'Taboa Dat. '!$M$4,'Taboa Dat. '!$N$4),'Gastos de Persoal'!O137="g"),'Gastos de Persoal'!N137*('Taboa Dat. '!$J$5+'Taboa Dat. '!$J$6+'Taboa Dat. '!$J$9),'Gastos de Persoal'!N137*SUM('Taboa Dat. '!$O$5:$O$7))))</f>
        <v>#N/A</v>
      </c>
      <c r="Q137" s="37"/>
      <c r="R137" s="37" t="e">
        <f t="shared" ref="R137:R138" si="93">+P137+N137-Q137</f>
        <v>#N/A</v>
      </c>
    </row>
    <row r="138" spans="1:19" ht="15" customHeight="1">
      <c r="A138" s="159"/>
      <c r="B138" s="215"/>
      <c r="C138" s="25"/>
      <c r="D138" s="25"/>
      <c r="E138" s="212"/>
      <c r="F138" s="213"/>
      <c r="G138" s="213"/>
      <c r="H138" s="37" t="e">
        <f>+VLOOKUP(B138,'Taboa Dat. '!$A$4:$C$41,3)*12*G138*F138</f>
        <v>#N/A</v>
      </c>
      <c r="I138" s="266"/>
      <c r="J138" s="37">
        <f>IF(I138="",0,+VLOOKUP(I138,'Taboa Dat. '!$H$13:$J$17,3)*12*F138*G138)</f>
        <v>0</v>
      </c>
      <c r="K138" s="37">
        <f>178.96*12*G138*F138</f>
        <v>0</v>
      </c>
      <c r="L138" s="37" t="e">
        <f>(+VLOOKUP(B138,'Taboa Dat. '!$A$4:D$41,4)*12*F138*G138)*2</f>
        <v>#N/A</v>
      </c>
      <c r="M138" s="37" t="e">
        <f t="shared" si="91"/>
        <v>#N/A</v>
      </c>
      <c r="N138" s="37" t="e">
        <f t="shared" si="92"/>
        <v>#N/A</v>
      </c>
      <c r="O138" s="214"/>
      <c r="P138" s="37" t="e">
        <f>+IF(AND(OR(D138='Taboa Dat. '!$J$4,D138='Taboa Dat. '!$K$4,D138='Taboa Dat. '!$L$4,D138='Taboa Dat. '!$M$4,D138='Taboa Dat. '!$N$4),'Gastos de Persoal'!O138=""),'Gastos de Persoal'!N138*SUM('Taboa Dat. '!$J$5:$J$7),IF(AND(OR(D138='Taboa Dat. '!$J$4,'Taboa Dat. '!$K$4,'Taboa Dat. '!$L$4,'Taboa Dat. '!$M$4,'Taboa Dat. '!$N$4),'Gastos de Persoal'!O138="a"),'Gastos de Persoal'!N138*('Taboa Dat. '!$J$5+'Taboa Dat. '!$J$6+'Taboa Dat. '!$J$8),IF(AND(OR(D138='Taboa Dat. '!$J$4,'Taboa Dat. '!$K$4,'Taboa Dat. '!$L$4,'Taboa Dat. '!$M$4,'Taboa Dat. '!$N$4),'Gastos de Persoal'!O138="g"),'Gastos de Persoal'!N138*('Taboa Dat. '!$J$5+'Taboa Dat. '!$J$6+'Taboa Dat. '!$J$9),'Gastos de Persoal'!N138*SUM('Taboa Dat. '!$O$5:$O$7))))</f>
        <v>#N/A</v>
      </c>
      <c r="Q138" s="37"/>
      <c r="R138" s="37" t="e">
        <f t="shared" si="93"/>
        <v>#N/A</v>
      </c>
    </row>
    <row r="139" spans="1:19" ht="15" customHeight="1">
      <c r="A139" s="159"/>
      <c r="B139" s="215"/>
      <c r="C139" s="25"/>
      <c r="D139" s="25"/>
      <c r="E139" s="212"/>
      <c r="F139" s="213"/>
      <c r="G139" s="213"/>
      <c r="H139" s="37" t="e">
        <f>+VLOOKUP(B139,'Taboa Dat. '!$A$4:$C$41,3)*12*G139*F139</f>
        <v>#N/A</v>
      </c>
      <c r="I139" s="163"/>
      <c r="J139" s="37">
        <f>IF(I139="",0,+VLOOKUP(I139,'Taboa Dat. '!$H$13:$J$17,3)*12*F139)</f>
        <v>0</v>
      </c>
      <c r="K139" s="37">
        <f>66.5*12*F139</f>
        <v>0</v>
      </c>
      <c r="L139" s="37" t="e">
        <f>(+VLOOKUP(B139,'Taboa Dat. '!$A$4:D$41,4)*12*F139*G139)*2</f>
        <v>#N/A</v>
      </c>
      <c r="M139" s="37" t="e">
        <f t="shared" ref="M139:M141" si="94">(+H139+K139+J139)*2/12</f>
        <v>#N/A</v>
      </c>
      <c r="N139" s="37" t="e">
        <f t="shared" ref="N139:N141" si="95">+H139+J139+K139+M139+L139</f>
        <v>#N/A</v>
      </c>
      <c r="O139" s="214"/>
      <c r="P139" s="37" t="e">
        <f>+IF(AND(OR(D139='Taboa Dat. '!$J$4,D139='Taboa Dat. '!$K$4,D139='Taboa Dat. '!$L$4,D139='Taboa Dat. '!$M$4,D139='Taboa Dat. '!$N$4),'Gastos de Persoal'!O139=""),'Gastos de Persoal'!N139*SUM('Taboa Dat. '!$J$5:$J$7),IF(AND(OR(D139='Taboa Dat. '!$J$4,'Taboa Dat. '!$K$4,'Taboa Dat. '!$L$4,'Taboa Dat. '!$M$4,'Taboa Dat. '!$N$4),'Gastos de Persoal'!O139="a"),'Gastos de Persoal'!N139*('Taboa Dat. '!$J$5+'Taboa Dat. '!$J$6+'Taboa Dat. '!$J$8),IF(AND(OR(D139='Taboa Dat. '!$J$4,'Taboa Dat. '!$K$4,'Taboa Dat. '!$L$4,'Taboa Dat. '!$M$4,'Taboa Dat. '!$N$4),'Gastos de Persoal'!O139="g"),'Gastos de Persoal'!N139*('Taboa Dat. '!$J$5+'Taboa Dat. '!$J$6+'Taboa Dat. '!$J$9),'Gastos de Persoal'!N139*SUM('Taboa Dat. '!$O$5:$O$7))))</f>
        <v>#N/A</v>
      </c>
      <c r="Q139" s="37"/>
      <c r="R139" s="37" t="e">
        <f t="shared" ref="R139:R141" si="96">+P139+N139-Q139</f>
        <v>#N/A</v>
      </c>
    </row>
    <row r="140" spans="1:19" ht="15" customHeight="1">
      <c r="A140" s="159"/>
      <c r="B140" s="215"/>
      <c r="C140" s="25"/>
      <c r="D140" s="25"/>
      <c r="E140" s="212"/>
      <c r="F140" s="213"/>
      <c r="G140" s="213"/>
      <c r="H140" s="37" t="e">
        <f>+VLOOKUP(B140,'Taboa Dat. '!$A$4:$C$41,3)*12*G140*F140</f>
        <v>#N/A</v>
      </c>
      <c r="I140" s="266"/>
      <c r="J140" s="37">
        <f>IF(I140="",0,+VLOOKUP(I140,'Taboa Dat. '!$H$13:$J$17,3)*12*G140*F140)</f>
        <v>0</v>
      </c>
      <c r="K140" s="37">
        <f>33.25*12*G140*F140</f>
        <v>0</v>
      </c>
      <c r="L140" s="37" t="e">
        <f>(+VLOOKUP(B140,'Taboa Dat. '!$A$4:D$41,4)*12*F140*G140)*2</f>
        <v>#N/A</v>
      </c>
      <c r="M140" s="37" t="e">
        <f t="shared" si="94"/>
        <v>#N/A</v>
      </c>
      <c r="N140" s="37" t="e">
        <f t="shared" si="95"/>
        <v>#N/A</v>
      </c>
      <c r="O140" s="214"/>
      <c r="P140" s="37" t="e">
        <f>+IF(AND(OR(D140='Taboa Dat. '!$J$4,D140='Taboa Dat. '!$K$4,D140='Taboa Dat. '!$L$4,D140='Taboa Dat. '!$M$4,D140='Taboa Dat. '!$N$4),'Gastos de Persoal'!O140=""),'Gastos de Persoal'!N140*SUM('Taboa Dat. '!$J$5:$J$7),IF(AND(OR(D140='Taboa Dat. '!$J$4,'Taboa Dat. '!$K$4,'Taboa Dat. '!$L$4,'Taboa Dat. '!$M$4,'Taboa Dat. '!$N$4),'Gastos de Persoal'!O140="a"),'Gastos de Persoal'!N140*('Taboa Dat. '!$J$5+'Taboa Dat. '!$J$6+'Taboa Dat. '!$J$8),IF(AND(OR(D140='Taboa Dat. '!$J$4,'Taboa Dat. '!$K$4,'Taboa Dat. '!$L$4,'Taboa Dat. '!$M$4,'Taboa Dat. '!$N$4),'Gastos de Persoal'!O140="g"),'Gastos de Persoal'!N140*('Taboa Dat. '!$J$5+'Taboa Dat. '!$J$6+'Taboa Dat. '!$J$9),'Gastos de Persoal'!N140*SUM('Taboa Dat. '!$O$5:$O$7))))</f>
        <v>#N/A</v>
      </c>
      <c r="Q140" s="37"/>
      <c r="R140" s="37" t="e">
        <f t="shared" si="96"/>
        <v>#N/A</v>
      </c>
    </row>
    <row r="141" spans="1:19" ht="15" customHeight="1">
      <c r="A141" s="159"/>
      <c r="B141" s="215"/>
      <c r="C141" s="25"/>
      <c r="D141" s="25"/>
      <c r="E141" s="212"/>
      <c r="F141" s="213"/>
      <c r="G141" s="213"/>
      <c r="H141" s="37" t="e">
        <f>+VLOOKUP(B141,'Taboa Dat. '!$A$4:$C$41,3)*12*G141*F141-12250.43</f>
        <v>#N/A</v>
      </c>
      <c r="I141" s="266"/>
      <c r="J141" s="37">
        <f>IF(I141="",0,+VLOOKUP(I141,'Taboa Dat. '!$H$13:$J$17,3)*12*G141*F141)</f>
        <v>0</v>
      </c>
      <c r="K141" s="37">
        <f>0*12*G141*F141</f>
        <v>0</v>
      </c>
      <c r="L141" s="37" t="e">
        <f>(+VLOOKUP(B141,'Taboa Dat. '!$A$4:D$41,4)*12*F141*G141)*2-906.39</f>
        <v>#N/A</v>
      </c>
      <c r="M141" s="37" t="e">
        <f t="shared" si="94"/>
        <v>#N/A</v>
      </c>
      <c r="N141" s="37" t="e">
        <f t="shared" si="95"/>
        <v>#N/A</v>
      </c>
      <c r="O141" s="214"/>
      <c r="P141" s="37" t="e">
        <f>+IF(AND(OR(D141='Taboa Dat. '!$J$4,D141='Taboa Dat. '!$K$4,D141='Taboa Dat. '!$L$4,D141='Taboa Dat. '!$M$4,D141='Taboa Dat. '!$N$4),'Gastos de Persoal'!O141=""),'Gastos de Persoal'!N141*SUM('Taboa Dat. '!$J$5:$J$7),IF(AND(OR(D141='Taboa Dat. '!$J$4,'Taboa Dat. '!$K$4,'Taboa Dat. '!$L$4,'Taboa Dat. '!$M$4,'Taboa Dat. '!$N$4),'Gastos de Persoal'!O141="a"),'Gastos de Persoal'!N141*('Taboa Dat. '!$J$5+'Taboa Dat. '!$J$6+'Taboa Dat. '!$J$8),IF(AND(OR(D141='Taboa Dat. '!$J$4,'Taboa Dat. '!$K$4,'Taboa Dat. '!$L$4,'Taboa Dat. '!$M$4,'Taboa Dat. '!$N$4),'Gastos de Persoal'!O141="g"),'Gastos de Persoal'!N141*('Taboa Dat. '!$J$5+'Taboa Dat. '!$J$6+'Taboa Dat. '!$J$9),'Gastos de Persoal'!N141*SUM('Taboa Dat. '!$O$5:$O$7))))+4261.02</f>
        <v>#N/A</v>
      </c>
      <c r="Q141" s="287"/>
      <c r="R141" s="37" t="e">
        <f t="shared" si="96"/>
        <v>#N/A</v>
      </c>
      <c r="S141" s="312"/>
    </row>
    <row r="142" spans="1:19" ht="15" customHeight="1">
      <c r="A142" s="159"/>
      <c r="B142" s="215"/>
      <c r="C142" s="25"/>
      <c r="D142" s="25"/>
      <c r="E142" s="212"/>
      <c r="F142" s="213"/>
      <c r="G142" s="213"/>
      <c r="H142" s="37" t="e">
        <f>+VLOOKUP(B142,'Taboa Dat. '!$A$4:$C$41,3)*12*G142*F142</f>
        <v>#N/A</v>
      </c>
      <c r="I142" s="266"/>
      <c r="J142" s="37">
        <f>IF(I142="",0,+VLOOKUP(I142,'Taboa Dat. '!$H$13:$J$17,3)*12*G142*F142)</f>
        <v>0</v>
      </c>
      <c r="K142" s="37">
        <f>0*12*G142*F142</f>
        <v>0</v>
      </c>
      <c r="L142" s="37" t="e">
        <f>(+VLOOKUP(B142,'Taboa Dat. '!$A$4:D$41,4)*12*F142*G142)*2-906.39</f>
        <v>#N/A</v>
      </c>
      <c r="M142" s="37" t="e">
        <f t="shared" ref="M142" si="97">(+H142+K142+J142)*2/12</f>
        <v>#N/A</v>
      </c>
      <c r="N142" s="37" t="e">
        <f t="shared" ref="N142" si="98">+H142+J142+K142+M142+L142</f>
        <v>#N/A</v>
      </c>
      <c r="O142" s="214"/>
      <c r="P142" s="37" t="e">
        <f>+IF(AND(OR(D142='Taboa Dat. '!$J$4,D142='Taboa Dat. '!$K$4,D142='Taboa Dat. '!$L$4,D142='Taboa Dat. '!$M$4,D142='Taboa Dat. '!$N$4),'Gastos de Persoal'!O142=""),'Gastos de Persoal'!N142*SUM('Taboa Dat. '!$J$5:$J$7),IF(AND(OR(D142='Taboa Dat. '!$J$4,'Taboa Dat. '!$K$4,'Taboa Dat. '!$L$4,'Taboa Dat. '!$M$4,'Taboa Dat. '!$N$4),'Gastos de Persoal'!O142="a"),'Gastos de Persoal'!N142*('Taboa Dat. '!$J$5+'Taboa Dat. '!$J$6+'Taboa Dat. '!$J$8),IF(AND(OR(D142='Taboa Dat. '!$J$4,'Taboa Dat. '!$K$4,'Taboa Dat. '!$L$4,'Taboa Dat. '!$M$4,'Taboa Dat. '!$N$4),'Gastos de Persoal'!O142="g"),'Gastos de Persoal'!N142*('Taboa Dat. '!$J$5+'Taboa Dat. '!$J$6+'Taboa Dat. '!$J$9),'Gastos de Persoal'!N142*SUM('Taboa Dat. '!$O$5:$O$7))))</f>
        <v>#N/A</v>
      </c>
      <c r="Q142" s="37"/>
      <c r="R142" s="37" t="e">
        <f t="shared" ref="R142" si="99">+P142+N142-Q142</f>
        <v>#N/A</v>
      </c>
      <c r="S142" s="312"/>
    </row>
    <row r="143" spans="1:19" ht="15" customHeight="1">
      <c r="A143" s="159"/>
      <c r="B143" s="215"/>
      <c r="C143" s="25"/>
      <c r="D143" s="25"/>
      <c r="E143" s="212"/>
      <c r="F143" s="213"/>
      <c r="G143" s="213"/>
      <c r="H143" s="37" t="e">
        <f>+VLOOKUP(B143,'Taboa Dat. '!$A$4:$C$41,3)*12*G143*F143</f>
        <v>#N/A</v>
      </c>
      <c r="I143" s="163"/>
      <c r="J143" s="37">
        <f>IF(I143="",0,+VLOOKUP(I143,'Taboa Dat. '!$H$13:$J$17,3)*12*F143*G143)</f>
        <v>0</v>
      </c>
      <c r="K143" s="37">
        <v>0</v>
      </c>
      <c r="L143" s="37" t="e">
        <f>(+VLOOKUP(B143,'Taboa Dat. '!$A$4:D$41,4)*12*F143*G143)*2-906.39</f>
        <v>#N/A</v>
      </c>
      <c r="M143" s="37" t="e">
        <f>(+H143+K143+J143)*2/12</f>
        <v>#N/A</v>
      </c>
      <c r="N143" s="37" t="e">
        <f>+H143+J143+K143+M143+L143</f>
        <v>#N/A</v>
      </c>
      <c r="O143" s="214"/>
      <c r="P143" s="37" t="e">
        <f>+IF(AND(OR(D143='Taboa Dat. '!$J$4,D143='Taboa Dat. '!$K$4,D143='Taboa Dat. '!$L$4,D143='Taboa Dat. '!$M$4,D143='Taboa Dat. '!$N$4),'Gastos de Persoal'!O143=""),'Gastos de Persoal'!N143*SUM('Taboa Dat. '!$J$5:$J$7),IF(AND(OR(D143='Taboa Dat. '!$J$4,'Taboa Dat. '!$K$4,'Taboa Dat. '!$L$4,'Taboa Dat. '!$M$4,'Taboa Dat. '!$N$4),'Gastos de Persoal'!O143="a"),'Gastos de Persoal'!N143*('Taboa Dat. '!$J$5+'Taboa Dat. '!$J$6+'Taboa Dat. '!$J$8),IF(AND(OR(D143='Taboa Dat. '!$J$4,'Taboa Dat. '!$K$4,'Taboa Dat. '!$L$4,'Taboa Dat. '!$M$4,'Taboa Dat. '!$N$4),'Gastos de Persoal'!O143="g"),'Gastos de Persoal'!N143*('Taboa Dat. '!$J$5+'Taboa Dat. '!$J$6+'Taboa Dat. '!$J$9),'Gastos de Persoal'!N143*SUM('Taboa Dat. '!$O$5:$O$7))))</f>
        <v>#N/A</v>
      </c>
      <c r="Q143" s="37"/>
      <c r="R143" s="37" t="e">
        <f>+P143+N143-Q143</f>
        <v>#N/A</v>
      </c>
    </row>
    <row r="144" spans="1:19" ht="15" customHeight="1">
      <c r="A144" s="7"/>
      <c r="B144" s="25"/>
      <c r="C144" s="25"/>
      <c r="D144" s="25"/>
      <c r="E144" s="212"/>
      <c r="F144" s="213"/>
      <c r="G144" s="213"/>
      <c r="H144" s="37" t="e">
        <f>+VLOOKUP(B144,'Taboa Dat. '!$A$4:$C$41,3)*12*G144*F144</f>
        <v>#N/A</v>
      </c>
      <c r="I144" s="266"/>
      <c r="J144" s="37">
        <f>IF(I144="",0,+VLOOKUP(I144,'Taboa Dat. '!$H$13:$J$17,3)*12*G144*F144)</f>
        <v>0</v>
      </c>
      <c r="K144" s="37">
        <f>0*12*G144*F144</f>
        <v>0</v>
      </c>
      <c r="L144" s="37" t="e">
        <f>(+VLOOKUP(B144,'Taboa Dat. '!$A$4:D$41,4)*12*F144*G144)*2-906.39</f>
        <v>#N/A</v>
      </c>
      <c r="M144" s="37" t="e">
        <f t="shared" ref="M144" si="100">(+H144+K144+J144)*2/12</f>
        <v>#N/A</v>
      </c>
      <c r="N144" s="37" t="e">
        <f t="shared" ref="N144:N153" si="101">+H144+J144+K144+M144+L144</f>
        <v>#N/A</v>
      </c>
      <c r="O144" s="214"/>
      <c r="P144" s="37" t="e">
        <f>+IF(AND(OR(D144='Taboa Dat. '!$J$4,D144='Taboa Dat. '!$K$4,D144='Taboa Dat. '!$L$4,D144='Taboa Dat. '!$M$4,D144='Taboa Dat. '!$N$4),'Gastos de Persoal'!O144=""),'Gastos de Persoal'!N144*SUM('Taboa Dat. '!$J$5:$J$7),IF(AND(OR(D144='Taboa Dat. '!$J$4,'Taboa Dat. '!$K$4,'Taboa Dat. '!$L$4,'Taboa Dat. '!$M$4,'Taboa Dat. '!$N$4),'Gastos de Persoal'!O144="a"),'Gastos de Persoal'!N144*('Taboa Dat. '!$J$5+'Taboa Dat. '!$J$6+'Taboa Dat. '!$J$8),IF(AND(OR(D144='Taboa Dat. '!$J$4,'Taboa Dat. '!$K$4,'Taboa Dat. '!$L$4,'Taboa Dat. '!$M$4,'Taboa Dat. '!$N$4),'Gastos de Persoal'!O144="g"),'Gastos de Persoal'!N144*('Taboa Dat. '!$J$5+'Taboa Dat. '!$J$6+'Taboa Dat. '!$J$9),'Gastos de Persoal'!N144*SUM('Taboa Dat. '!$O$5:$O$7))))</f>
        <v>#N/A</v>
      </c>
      <c r="Q144" s="37"/>
      <c r="R144" s="37" t="e">
        <f t="shared" ref="R144" si="102">+P144+N144-Q144</f>
        <v>#N/A</v>
      </c>
    </row>
    <row r="145" spans="1:21" ht="15" customHeight="1">
      <c r="A145" s="159"/>
      <c r="B145" s="215"/>
      <c r="C145" s="25"/>
      <c r="D145" s="25"/>
      <c r="E145" s="212"/>
      <c r="F145" s="213"/>
      <c r="G145" s="213"/>
      <c r="H145" s="37" t="e">
        <f>+VLOOKUP(B145,'Taboa Dat. '!$A$4:$C$41,3)*12*G145*F145</f>
        <v>#N/A</v>
      </c>
      <c r="I145" s="163"/>
      <c r="J145" s="37">
        <f>IF(I145="",0,+VLOOKUP(I145,'Taboa Dat. '!$H$13:$J$17,3)*12*G145*F145)</f>
        <v>0</v>
      </c>
      <c r="K145" s="37">
        <f>78.05*12*G145*F145</f>
        <v>0</v>
      </c>
      <c r="L145" s="37" t="e">
        <f>(+VLOOKUP(B145,'Taboa Dat. '!$A$4:D$41,4)*12*F145*G145)*2-906.39</f>
        <v>#N/A</v>
      </c>
      <c r="M145" s="37" t="e">
        <f>(+H145+K145+J145)*2/12</f>
        <v>#N/A</v>
      </c>
      <c r="N145" s="37" t="e">
        <f t="shared" si="101"/>
        <v>#N/A</v>
      </c>
      <c r="O145" s="214"/>
      <c r="P145" s="37" t="e">
        <f>+IF(AND(OR(D145='Taboa Dat. '!$J$4,D145='Taboa Dat. '!$K$4,D145='Taboa Dat. '!$L$4,D145='Taboa Dat. '!$M$4,D145='Taboa Dat. '!$N$4),'Gastos de Persoal'!O145=""),'Gastos de Persoal'!N145*SUM('Taboa Dat. '!$J$5:$J$7),IF(AND(OR(D145='Taboa Dat. '!$J$4,'Taboa Dat. '!$K$4,'Taboa Dat. '!$L$4,'Taboa Dat. '!$M$4,'Taboa Dat. '!$N$4),'Gastos de Persoal'!O145="a"),'Gastos de Persoal'!N145*('Taboa Dat. '!$J$5+'Taboa Dat. '!$J$6+'Taboa Dat. '!$J$8),IF(AND(OR(D145='Taboa Dat. '!$J$4,'Taboa Dat. '!$K$4,'Taboa Dat. '!$L$4,'Taboa Dat. '!$M$4,'Taboa Dat. '!$N$4),'Gastos de Persoal'!O145="g"),'Gastos de Persoal'!N145*('Taboa Dat. '!$J$5+'Taboa Dat. '!$J$6+'Taboa Dat. '!$J$9),'Gastos de Persoal'!N145*SUM('Taboa Dat. '!$O$5:$O$7))))</f>
        <v>#N/A</v>
      </c>
      <c r="Q145" s="37"/>
      <c r="R145" s="37" t="e">
        <f>+P145+N145-Q145</f>
        <v>#N/A</v>
      </c>
    </row>
    <row r="146" spans="1:21" ht="15" customHeight="1">
      <c r="A146" s="159"/>
      <c r="B146" s="215"/>
      <c r="C146" s="25"/>
      <c r="D146" s="25"/>
      <c r="E146" s="212"/>
      <c r="F146" s="213"/>
      <c r="G146" s="213"/>
      <c r="H146" s="37" t="e">
        <f>+VLOOKUP(B146,'Taboa Dat. '!$A$4:$C$41,3)*12*G146*F146</f>
        <v>#N/A</v>
      </c>
      <c r="I146" s="163"/>
      <c r="J146" s="37">
        <f>IF(I146="",0,+VLOOKUP(I146,'Taboa Dat. '!$H$13:$J$17,3)*12*F146*G146)</f>
        <v>0</v>
      </c>
      <c r="K146" s="37">
        <f>39.02*12*G146*F146</f>
        <v>0</v>
      </c>
      <c r="L146" s="37" t="e">
        <f>(+VLOOKUP(B146,'Taboa Dat. '!$A$4:D$41,4)*12*F146*G146)*2-906.39</f>
        <v>#N/A</v>
      </c>
      <c r="M146" s="37" t="e">
        <f>(+H146+K146+J146)*2/12</f>
        <v>#N/A</v>
      </c>
      <c r="N146" s="37" t="e">
        <f>+H146+J146+K146+M146+L146</f>
        <v>#N/A</v>
      </c>
      <c r="O146" s="214"/>
      <c r="P146" s="37" t="e">
        <f>+IF(AND(OR(D146='Taboa Dat. '!$J$4,D146='Taboa Dat. '!$K$4,D146='Taboa Dat. '!$L$4,D146='Taboa Dat. '!$M$4,D146='Taboa Dat. '!$N$4),'Gastos de Persoal'!O146=""),'Gastos de Persoal'!N146*SUM('Taboa Dat. '!$J$5:$J$7),IF(AND(OR(D146='Taboa Dat. '!$J$4,'Taboa Dat. '!$K$4,'Taboa Dat. '!$L$4,'Taboa Dat. '!$M$4,'Taboa Dat. '!$N$4),'Gastos de Persoal'!O146="a"),'Gastos de Persoal'!N146*('Taboa Dat. '!$J$5+'Taboa Dat. '!$J$6+'Taboa Dat. '!$J$8),IF(AND(OR(D146='Taboa Dat. '!$J$4,'Taboa Dat. '!$K$4,'Taboa Dat. '!$L$4,'Taboa Dat. '!$M$4,'Taboa Dat. '!$N$4),'Gastos de Persoal'!O146="g"),'Gastos de Persoal'!N146*('Taboa Dat. '!$J$5+'Taboa Dat. '!$J$6+'Taboa Dat. '!$J$9),'Gastos de Persoal'!N146*SUM('Taboa Dat. '!$O$5:$O$7))))</f>
        <v>#N/A</v>
      </c>
      <c r="Q146" s="37"/>
      <c r="R146" s="37" t="e">
        <f>+P146+N146-Q146</f>
        <v>#N/A</v>
      </c>
    </row>
    <row r="147" spans="1:21" ht="15" customHeight="1">
      <c r="A147" s="7"/>
      <c r="B147" s="25"/>
      <c r="C147" s="25"/>
      <c r="D147" s="25"/>
      <c r="E147" s="212"/>
      <c r="F147" s="213"/>
      <c r="G147" s="213"/>
      <c r="H147" s="37" t="e">
        <f>(+VLOOKUP(B147,'Taboa Dat. '!$A$4:$C$41,3)+1121.83)*12*G147*F147</f>
        <v>#N/A</v>
      </c>
      <c r="I147" s="163"/>
      <c r="J147" s="37">
        <f>(IF(I147="",0,+VLOOKUP(I147,'Taboa Dat. '!$H$13:$J$18,3)*12*F147*G147))*2</f>
        <v>0</v>
      </c>
      <c r="K147" s="37">
        <f>0*(1+$R$2)*0</f>
        <v>0</v>
      </c>
      <c r="L147" s="37" t="e">
        <f>(+VLOOKUP(B147,'Taboa Dat. '!$A$4:D$41,4)*12*F147*G147)*2-906.39</f>
        <v>#N/A</v>
      </c>
      <c r="M147" s="37" t="e">
        <f t="shared" ref="M147" si="103">(+H147+K147)*2/12</f>
        <v>#N/A</v>
      </c>
      <c r="N147" s="37" t="e">
        <f t="shared" ref="N147" si="104">+H147+J147+K147+M147+L147</f>
        <v>#N/A</v>
      </c>
      <c r="O147" s="214"/>
      <c r="P147" s="37" t="e">
        <f>+IF(AND(OR(D147='Taboa Dat. '!$J$4,D147='Taboa Dat. '!$K$4,D147='Taboa Dat. '!$L$4,D147='Taboa Dat. '!$M$4,D147='Taboa Dat. '!$N$4),'Gastos de Persoal'!O147=""),'Gastos de Persoal'!N147*SUM('Taboa Dat. '!$J$5:$J$7),IF(AND(OR(D147='Taboa Dat. '!$J$4,'Taboa Dat. '!$K$4,'Taboa Dat. '!$L$4,'Taboa Dat. '!$M$4,'Taboa Dat. '!$N$4),'Gastos de Persoal'!O147="a"),'Gastos de Persoal'!N147*('Taboa Dat. '!$J$5+'Taboa Dat. '!$J$6+'Taboa Dat. '!$J$8),IF(AND(OR(D147='Taboa Dat. '!$J$4,'Taboa Dat. '!$K$4,'Taboa Dat. '!$L$4,'Taboa Dat. '!$M$4,'Taboa Dat. '!$N$4),'Gastos de Persoal'!O147="g"),'Gastos de Persoal'!N147*('Taboa Dat. '!$J$5+'Taboa Dat. '!$J$6+'Taboa Dat. '!$J$9),'Gastos de Persoal'!N147*SUM('Taboa Dat. '!$O$5:$O$7))))</f>
        <v>#N/A</v>
      </c>
      <c r="Q147" s="37"/>
      <c r="R147" s="37" t="e">
        <f t="shared" ref="R147" si="105">+P147+N147-Q147</f>
        <v>#N/A</v>
      </c>
    </row>
    <row r="148" spans="1:21" ht="15" customHeight="1">
      <c r="A148" s="257"/>
      <c r="B148" s="250"/>
      <c r="C148" s="251"/>
      <c r="D148" s="251"/>
      <c r="E148" s="252"/>
      <c r="F148" s="253"/>
      <c r="G148" s="253"/>
      <c r="H148" s="255" t="e">
        <f>(+VLOOKUP(B148,'Taboa Dat. '!$A$4:$C$41,3))*11*G148*F148</f>
        <v>#N/A</v>
      </c>
      <c r="I148" s="270"/>
      <c r="J148" s="255">
        <f>IF(I148="",0,+VLOOKUP(I148,'Taboa Dat. '!$H$13:$J$17,3)*12*F148*G148)</f>
        <v>0</v>
      </c>
      <c r="K148" s="255">
        <f>0*12*G148*F148</f>
        <v>0</v>
      </c>
      <c r="L148" s="255">
        <v>0</v>
      </c>
      <c r="M148" s="255" t="e">
        <f t="shared" ref="M148:M153" si="106">(+H148+K148+J148)*2/12</f>
        <v>#N/A</v>
      </c>
      <c r="N148" s="255" t="e">
        <f t="shared" si="101"/>
        <v>#N/A</v>
      </c>
      <c r="O148" s="256"/>
      <c r="P148" s="255" t="e">
        <f>+IF(AND(OR(D148='Taboa Dat. '!$J$4,D148='Taboa Dat. '!$K$4,D148='Taboa Dat. '!$L$4,D148='Taboa Dat. '!$M$4,D148='Taboa Dat. '!$N$4),'Gastos de Persoal'!O148=""),'Gastos de Persoal'!N148*SUM('Taboa Dat. '!$J$5:$J$7),IF(AND(OR(D148='Taboa Dat. '!$J$4,'Taboa Dat. '!$K$4,'Taboa Dat. '!$L$4,'Taboa Dat. '!$M$4,'Taboa Dat. '!$N$4),'Gastos de Persoal'!O148="a"),'Gastos de Persoal'!N148*('Taboa Dat. '!$J$5+'Taboa Dat. '!$J$6+'Taboa Dat. '!$J$8),IF(AND(OR(D148='Taboa Dat. '!$J$4,'Taboa Dat. '!$K$4,'Taboa Dat. '!$L$4,'Taboa Dat. '!$M$4,'Taboa Dat. '!$N$4),'Gastos de Persoal'!O148="g"),'Gastos de Persoal'!N148*('Taboa Dat. '!$J$5+'Taboa Dat. '!$J$6+'Taboa Dat. '!$J$9),'Gastos de Persoal'!N148*SUM('Taboa Dat. '!$O$5:$O$7))))</f>
        <v>#N/A</v>
      </c>
      <c r="Q148" s="255"/>
      <c r="R148" s="255" t="e">
        <f t="shared" ref="R148:R153" si="107">+P148+N148-Q148</f>
        <v>#N/A</v>
      </c>
      <c r="S148" s="255">
        <f>911.49/30*12*F148</f>
        <v>0</v>
      </c>
      <c r="T148" s="138"/>
      <c r="U148" s="138"/>
    </row>
    <row r="149" spans="1:21" ht="15" customHeight="1">
      <c r="A149" s="257"/>
      <c r="B149" s="250"/>
      <c r="C149" s="251"/>
      <c r="D149" s="251"/>
      <c r="E149" s="252"/>
      <c r="F149" s="253"/>
      <c r="G149" s="253"/>
      <c r="H149" s="255" t="e">
        <f>(+VLOOKUP(B149,'Taboa Dat. '!$A$4:$C$41,3))*11*G149*F149</f>
        <v>#N/A</v>
      </c>
      <c r="I149" s="270"/>
      <c r="J149" s="255">
        <f>IF(I149="",0,+VLOOKUP(I149,'Taboa Dat. '!$H$13:$J$17,3)*12*F149*G149)</f>
        <v>0</v>
      </c>
      <c r="K149" s="255">
        <f t="shared" ref="K149" si="108">0*12*G149*F149</f>
        <v>0</v>
      </c>
      <c r="L149" s="255">
        <v>0</v>
      </c>
      <c r="M149" s="255" t="e">
        <f t="shared" si="106"/>
        <v>#N/A</v>
      </c>
      <c r="N149" s="255" t="e">
        <f t="shared" si="101"/>
        <v>#N/A</v>
      </c>
      <c r="O149" s="256"/>
      <c r="P149" s="255" t="e">
        <f>+IF(AND(OR(D149='Taboa Dat. '!$J$4,D149='Taboa Dat. '!$K$4,D149='Taboa Dat. '!$L$4,D149='Taboa Dat. '!$M$4,D149='Taboa Dat. '!$N$4),'Gastos de Persoal'!O149=""),'Gastos de Persoal'!N149*SUM('Taboa Dat. '!$J$5:$J$7),IF(AND(OR(D149='Taboa Dat. '!$J$4,'Taboa Dat. '!$K$4,'Taboa Dat. '!$L$4,'Taboa Dat. '!$M$4,'Taboa Dat. '!$N$4),'Gastos de Persoal'!O149="a"),'Gastos de Persoal'!N149*('Taboa Dat. '!$J$5+'Taboa Dat. '!$J$6+'Taboa Dat. '!$J$8),IF(AND(OR(D149='Taboa Dat. '!$J$4,'Taboa Dat. '!$K$4,'Taboa Dat. '!$L$4,'Taboa Dat. '!$M$4,'Taboa Dat. '!$N$4),'Gastos de Persoal'!O149="g"),'Gastos de Persoal'!N149*('Taboa Dat. '!$J$5+'Taboa Dat. '!$J$6+'Taboa Dat. '!$J$9),'Gastos de Persoal'!N149*SUM('Taboa Dat. '!$O$5:$O$7))))</f>
        <v>#N/A</v>
      </c>
      <c r="Q149" s="255"/>
      <c r="R149" s="255" t="e">
        <f t="shared" si="107"/>
        <v>#N/A</v>
      </c>
      <c r="S149" s="255">
        <f>1157.29/30*12*F149</f>
        <v>0</v>
      </c>
    </row>
    <row r="150" spans="1:21" ht="15" customHeight="1">
      <c r="A150" s="249"/>
      <c r="B150" s="250"/>
      <c r="C150" s="251"/>
      <c r="D150" s="251"/>
      <c r="E150" s="252"/>
      <c r="F150" s="253"/>
      <c r="G150" s="254"/>
      <c r="H150" s="255" t="e">
        <f>+VLOOKUP(B150,'Taboa Dat. '!$A$4:$C$41,3)*11*G150*F150</f>
        <v>#N/A</v>
      </c>
      <c r="I150" s="267"/>
      <c r="J150" s="255">
        <f>IF(I150="",0,+VLOOKUP(I150,'Taboa Dat. '!$H$13:$J$17,3)*12*F150*G150)</f>
        <v>0</v>
      </c>
      <c r="K150" s="255">
        <f>0*12*F150*G150</f>
        <v>0</v>
      </c>
      <c r="L150" s="255">
        <v>0</v>
      </c>
      <c r="M150" s="255" t="e">
        <f t="shared" si="106"/>
        <v>#N/A</v>
      </c>
      <c r="N150" s="255" t="e">
        <f>+H150+J150+K150+M150+L150</f>
        <v>#N/A</v>
      </c>
      <c r="O150" s="256"/>
      <c r="P150" s="255" t="e">
        <f>+IF(AND(OR(D150='Taboa Dat. '!$J$4,D150='Taboa Dat. '!$K$4,D150='Taboa Dat. '!$L$4,D150='Taboa Dat. '!$M$4,D150='Taboa Dat. '!$N$4),'Gastos de Persoal'!O150=""),'Gastos de Persoal'!N150*SUM('Taboa Dat. '!$J$5:$J$7),IF(AND(OR(D150='Taboa Dat. '!$J$4,'Taboa Dat. '!$K$4,'Taboa Dat. '!$L$4,'Taboa Dat. '!$M$4,'Taboa Dat. '!$N$4),'Gastos de Persoal'!O150="a"),'Gastos de Persoal'!N150*('Taboa Dat. '!$J$5+'Taboa Dat. '!$J$6+'Taboa Dat. '!$J$8),IF(AND(OR(D150='Taboa Dat. '!$J$4,'Taboa Dat. '!$K$4,'Taboa Dat. '!$L$4,'Taboa Dat. '!$M$4,'Taboa Dat. '!$N$4),'Gastos de Persoal'!O150="g"),'Gastos de Persoal'!N150*('Taboa Dat. '!$J$5+'Taboa Dat. '!$J$6+'Taboa Dat. '!$J$9),'Gastos de Persoal'!N150*SUM('Taboa Dat. '!$O$5:$O$7))))</f>
        <v>#N/A</v>
      </c>
      <c r="Q150" s="255"/>
      <c r="R150" s="255" t="e">
        <f>+P150+N150-Q150</f>
        <v>#N/A</v>
      </c>
      <c r="S150" s="255">
        <f>1233.56/30*12*F150</f>
        <v>0</v>
      </c>
      <c r="T150" s="138"/>
    </row>
    <row r="151" spans="1:21" ht="15" customHeight="1">
      <c r="A151" s="258"/>
      <c r="B151" s="259"/>
      <c r="C151" s="259"/>
      <c r="D151" s="259"/>
      <c r="E151" s="260"/>
      <c r="F151" s="216"/>
      <c r="G151" s="216"/>
      <c r="H151" s="261" t="e">
        <f>(+VLOOKUP(B151,'Taboa Dat. '!$A$4:$C$41,3))*4*G151*F151</f>
        <v>#N/A</v>
      </c>
      <c r="I151" s="269"/>
      <c r="J151" s="261">
        <f>IF(I151="",0,+VLOOKUP(I151,'Taboa Dat. '!$H$13:$J$17,3)*12*F151*G151)</f>
        <v>0</v>
      </c>
      <c r="K151" s="261">
        <f>0*12*G151*F151</f>
        <v>0</v>
      </c>
      <c r="L151" s="261">
        <v>0</v>
      </c>
      <c r="M151" s="261" t="e">
        <f t="shared" si="106"/>
        <v>#N/A</v>
      </c>
      <c r="N151" s="261" t="e">
        <f t="shared" si="101"/>
        <v>#N/A</v>
      </c>
      <c r="O151" s="262"/>
      <c r="P151" s="261" t="e">
        <f>+IF(AND(OR(D151='Taboa Dat. '!$J$4,D151='Taboa Dat. '!$K$4,D151='Taboa Dat. '!$L$4,D151='Taboa Dat. '!$M$4,D151='Taboa Dat. '!$N$4),'Gastos de Persoal'!O151=""),'Gastos de Persoal'!N151*SUM('Taboa Dat. '!$J$5:$J$7),IF(AND(OR(D151='Taboa Dat. '!$J$4,'Taboa Dat. '!$K$4,'Taboa Dat. '!$L$4,'Taboa Dat. '!$M$4,'Taboa Dat. '!$N$4),'Gastos de Persoal'!O151="a"),'Gastos de Persoal'!N151*('Taboa Dat. '!$J$5+'Taboa Dat. '!$J$6+'Taboa Dat. '!$J$8),IF(AND(OR(D151='Taboa Dat. '!$J$4,'Taboa Dat. '!$K$4,'Taboa Dat. '!$L$4,'Taboa Dat. '!$M$4,'Taboa Dat. '!$N$4),'Gastos de Persoal'!O151="g"),'Gastos de Persoal'!N151*('Taboa Dat. '!$J$5+'Taboa Dat. '!$J$6+'Taboa Dat. '!$J$9),'Gastos de Persoal'!N151*SUM('Taboa Dat. '!$O$5:$O$7))))</f>
        <v>#N/A</v>
      </c>
      <c r="Q151" s="261"/>
      <c r="R151" s="261" t="e">
        <f t="shared" si="107"/>
        <v>#N/A</v>
      </c>
      <c r="S151" s="261" t="e">
        <f t="shared" ref="S151:S153" si="109">(H151/4/30)*12*7/12</f>
        <v>#N/A</v>
      </c>
      <c r="T151" s="170"/>
    </row>
    <row r="152" spans="1:21" ht="15" customHeight="1">
      <c r="A152" s="258"/>
      <c r="B152" s="259"/>
      <c r="C152" s="259"/>
      <c r="D152" s="259"/>
      <c r="E152" s="260"/>
      <c r="F152" s="216"/>
      <c r="G152" s="216"/>
      <c r="H152" s="261" t="e">
        <f>(+VLOOKUP(B152,'Taboa Dat. '!$A$4:$C$41,3))*4*G152*F152</f>
        <v>#N/A</v>
      </c>
      <c r="I152" s="269"/>
      <c r="J152" s="261">
        <f>IF(I152="",0,+VLOOKUP(I152,'Taboa Dat. '!$H$13:$J$17,3)*12*F152*G152)</f>
        <v>0</v>
      </c>
      <c r="K152" s="261">
        <f>0*12*G152*F152</f>
        <v>0</v>
      </c>
      <c r="L152" s="261">
        <v>0</v>
      </c>
      <c r="M152" s="261" t="e">
        <f t="shared" si="106"/>
        <v>#N/A</v>
      </c>
      <c r="N152" s="261" t="e">
        <f t="shared" si="101"/>
        <v>#N/A</v>
      </c>
      <c r="O152" s="262"/>
      <c r="P152" s="261" t="e">
        <f>+IF(AND(OR(D152='Taboa Dat. '!$J$4,D152='Taboa Dat. '!$K$4,D152='Taboa Dat. '!$L$4,D152='Taboa Dat. '!$M$4,D152='Taboa Dat. '!$N$4),'Gastos de Persoal'!O152=""),'Gastos de Persoal'!N152*SUM('Taboa Dat. '!$J$5:$J$7),IF(AND(OR(D152='Taboa Dat. '!$J$4,'Taboa Dat. '!$K$4,'Taboa Dat. '!$L$4,'Taboa Dat. '!$M$4,'Taboa Dat. '!$N$4),'Gastos de Persoal'!O152="a"),'Gastos de Persoal'!N152*('Taboa Dat. '!$J$5+'Taboa Dat. '!$J$6+'Taboa Dat. '!$J$8),IF(AND(OR(D152='Taboa Dat. '!$J$4,'Taboa Dat. '!$K$4,'Taboa Dat. '!$L$4,'Taboa Dat. '!$M$4,'Taboa Dat. '!$N$4),'Gastos de Persoal'!O152="g"),'Gastos de Persoal'!N152*('Taboa Dat. '!$J$5+'Taboa Dat. '!$J$6+'Taboa Dat. '!$J$9),'Gastos de Persoal'!N152*SUM('Taboa Dat. '!$O$5:$O$7))))</f>
        <v>#N/A</v>
      </c>
      <c r="Q152" s="261"/>
      <c r="R152" s="261" t="e">
        <f t="shared" si="107"/>
        <v>#N/A</v>
      </c>
      <c r="S152" s="261" t="e">
        <f t="shared" si="109"/>
        <v>#N/A</v>
      </c>
      <c r="T152" s="170"/>
    </row>
    <row r="153" spans="1:21" ht="15" customHeight="1">
      <c r="A153" s="258"/>
      <c r="B153" s="259"/>
      <c r="C153" s="259"/>
      <c r="D153" s="259"/>
      <c r="E153" s="260"/>
      <c r="F153" s="216"/>
      <c r="G153" s="216"/>
      <c r="H153" s="261" t="e">
        <f>(+VLOOKUP(B153,'Taboa Dat. '!$A$4:$C$41,3))*4*G153*F153</f>
        <v>#N/A</v>
      </c>
      <c r="I153" s="269"/>
      <c r="J153" s="261">
        <f>IF(I153="",0,+VLOOKUP(I153,'Taboa Dat. '!$H$13:$J$17,3)*12*F153*G153)</f>
        <v>0</v>
      </c>
      <c r="K153" s="261">
        <f>0*12*G153*F153</f>
        <v>0</v>
      </c>
      <c r="L153" s="261">
        <v>0</v>
      </c>
      <c r="M153" s="261" t="e">
        <f t="shared" si="106"/>
        <v>#N/A</v>
      </c>
      <c r="N153" s="261" t="e">
        <f t="shared" si="101"/>
        <v>#N/A</v>
      </c>
      <c r="O153" s="262"/>
      <c r="P153" s="261" t="e">
        <f>+IF(AND(OR(D153='Taboa Dat. '!$J$4,D153='Taboa Dat. '!$K$4,D153='Taboa Dat. '!$L$4,D153='Taboa Dat. '!$M$4,D153='Taboa Dat. '!$N$4),'Gastos de Persoal'!O153=""),'Gastos de Persoal'!N153*SUM('Taboa Dat. '!$J$5:$J$7),IF(AND(OR(D153='Taboa Dat. '!$J$4,'Taboa Dat. '!$K$4,'Taboa Dat. '!$L$4,'Taboa Dat. '!$M$4,'Taboa Dat. '!$N$4),'Gastos de Persoal'!O153="a"),'Gastos de Persoal'!N153*('Taboa Dat. '!$J$5+'Taboa Dat. '!$J$6+'Taboa Dat. '!$J$8),IF(AND(OR(D153='Taboa Dat. '!$J$4,'Taboa Dat. '!$K$4,'Taboa Dat. '!$L$4,'Taboa Dat. '!$M$4,'Taboa Dat. '!$N$4),'Gastos de Persoal'!O153="g"),'Gastos de Persoal'!N153*('Taboa Dat. '!$J$5+'Taboa Dat. '!$J$6+'Taboa Dat. '!$J$9),'Gastos de Persoal'!N153*SUM('Taboa Dat. '!$O$5:$O$7))))</f>
        <v>#N/A</v>
      </c>
      <c r="Q153" s="261"/>
      <c r="R153" s="261" t="e">
        <f t="shared" si="107"/>
        <v>#N/A</v>
      </c>
      <c r="S153" s="261" t="e">
        <f t="shared" si="109"/>
        <v>#N/A</v>
      </c>
      <c r="T153" s="170"/>
    </row>
    <row r="154" spans="1:21" ht="15" customHeight="1">
      <c r="A154" s="227" t="s">
        <v>260</v>
      </c>
      <c r="B154" s="227"/>
      <c r="C154" s="227"/>
      <c r="D154" s="227"/>
      <c r="E154" s="227"/>
      <c r="F154" s="227"/>
      <c r="G154" s="213"/>
      <c r="H154" s="38" t="e">
        <f>SUM(H137:H153)</f>
        <v>#N/A</v>
      </c>
      <c r="I154" s="38"/>
      <c r="J154" s="38">
        <f t="shared" ref="J154:S154" si="110">SUM(J137:J153)</f>
        <v>0</v>
      </c>
      <c r="K154" s="38">
        <f t="shared" si="110"/>
        <v>0</v>
      </c>
      <c r="L154" s="38" t="e">
        <f t="shared" si="110"/>
        <v>#N/A</v>
      </c>
      <c r="M154" s="38" t="e">
        <f t="shared" si="110"/>
        <v>#N/A</v>
      </c>
      <c r="N154" s="38" t="e">
        <f t="shared" si="110"/>
        <v>#N/A</v>
      </c>
      <c r="O154" s="38">
        <f t="shared" si="110"/>
        <v>0</v>
      </c>
      <c r="P154" s="38" t="e">
        <f t="shared" si="110"/>
        <v>#N/A</v>
      </c>
      <c r="Q154" s="38">
        <f t="shared" si="110"/>
        <v>0</v>
      </c>
      <c r="R154" s="38" t="e">
        <f t="shared" si="110"/>
        <v>#N/A</v>
      </c>
      <c r="S154" s="38" t="e">
        <f t="shared" si="110"/>
        <v>#N/A</v>
      </c>
    </row>
    <row r="155" spans="1:21" ht="10.5" customHeight="1">
      <c r="A155" s="48" t="s">
        <v>261</v>
      </c>
      <c r="B155" s="48"/>
      <c r="C155" s="48"/>
      <c r="D155" s="48"/>
      <c r="E155" s="48"/>
      <c r="F155" s="48"/>
      <c r="G155" s="48"/>
      <c r="R155" s="11"/>
    </row>
    <row r="156" spans="1:21" ht="27.75" customHeight="1"/>
    <row r="157" spans="1:21" ht="25.5">
      <c r="A157" s="8" t="s">
        <v>241</v>
      </c>
      <c r="B157" s="8"/>
      <c r="C157" s="8"/>
      <c r="D157" s="8"/>
      <c r="E157" s="8"/>
      <c r="F157" s="8"/>
      <c r="G157" s="8"/>
      <c r="H157" s="8" t="s">
        <v>247</v>
      </c>
      <c r="I157" s="265"/>
      <c r="J157" s="8"/>
      <c r="K157" s="209" t="s">
        <v>249</v>
      </c>
      <c r="L157" s="209" t="s">
        <v>250</v>
      </c>
      <c r="M157" s="8" t="s">
        <v>251</v>
      </c>
      <c r="N157" s="8" t="s">
        <v>252</v>
      </c>
      <c r="O157" s="8"/>
      <c r="P157" s="9" t="s">
        <v>254</v>
      </c>
      <c r="Q157" s="211" t="s">
        <v>255</v>
      </c>
      <c r="R157" s="9" t="s">
        <v>256</v>
      </c>
    </row>
    <row r="158" spans="1:21" ht="15" customHeight="1">
      <c r="A158" s="7"/>
      <c r="B158" s="25"/>
      <c r="C158" s="25"/>
      <c r="D158" s="25"/>
      <c r="E158" s="212"/>
      <c r="F158" s="213"/>
      <c r="G158" s="213"/>
      <c r="H158" s="37">
        <f>+VLOOKUP(B158,'Taboa Dat. '!$A$3:$C$41,3)*12*G158*F158</f>
        <v>0</v>
      </c>
      <c r="I158" s="163"/>
      <c r="J158" s="37">
        <f>IF(I158="",0,+VLOOKUP(I158,'Taboa Dat. '!$H$13:$J$17,3)*12*F158*G158)</f>
        <v>0</v>
      </c>
      <c r="K158" s="37">
        <f>202.85*12*G158*F158</f>
        <v>0</v>
      </c>
      <c r="L158" s="37" t="e">
        <f>(+VLOOKUP(B158,'Taboa Dat. '!$A$4:D$41,4)*12*F158*G158)*2</f>
        <v>#N/A</v>
      </c>
      <c r="M158" s="37">
        <f t="shared" ref="M158" si="111">(+H158+K158+J158)*2/12</f>
        <v>0</v>
      </c>
      <c r="N158" s="37" t="e">
        <f t="shared" ref="N158:N163" si="112">+H158+J158+K158+M158+L158</f>
        <v>#N/A</v>
      </c>
      <c r="O158" s="214" t="s">
        <v>263</v>
      </c>
      <c r="P158" s="37" t="e">
        <f>+IF(AND(OR(D158='Taboa Dat. '!$J$4,D158='Taboa Dat. '!$K$4,D158='Taboa Dat. '!$L$4,D158='Taboa Dat. '!$M$4,D158='Taboa Dat. '!$N$4),'Gastos de Persoal'!O158=""),'Gastos de Persoal'!N158*SUM('Taboa Dat. '!$J$5:$J$7),IF(AND(OR(D158='Taboa Dat. '!$J$4,'Taboa Dat. '!$K$4,'Taboa Dat. '!$L$4,'Taboa Dat. '!$M$4,'Taboa Dat. '!$N$4),'Gastos de Persoal'!O158="a"),'Gastos de Persoal'!N158*('Taboa Dat. '!$J$5+'Taboa Dat. '!$J$6+'Taboa Dat. '!$J$8),IF(AND(OR(D158='Taboa Dat. '!$J$4,'Taboa Dat. '!$K$4,'Taboa Dat. '!$L$4,'Taboa Dat. '!$M$4,'Taboa Dat. '!$N$4),'Gastos de Persoal'!O158="g"),'Gastos de Persoal'!N158*('Taboa Dat. '!$J$5+'Taboa Dat. '!$J$6+'Taboa Dat. '!$J$9),'Gastos de Persoal'!N158*SUM('Taboa Dat. '!$O$5:$O$7))))</f>
        <v>#N/A</v>
      </c>
      <c r="Q158" s="37"/>
      <c r="R158" s="37" t="e">
        <f t="shared" ref="R158" si="113">+P158+N158-Q158</f>
        <v>#N/A</v>
      </c>
    </row>
    <row r="159" spans="1:21" ht="15" customHeight="1">
      <c r="A159" s="7"/>
      <c r="B159" s="25"/>
      <c r="C159" s="25"/>
      <c r="D159" s="25"/>
      <c r="E159" s="212"/>
      <c r="F159" s="213"/>
      <c r="G159" s="213"/>
      <c r="H159" s="37">
        <f>+VLOOKUP(B159,'Taboa Dat. '!$A$3:$C$41,3)*12*G159*F159</f>
        <v>0</v>
      </c>
      <c r="I159" s="163"/>
      <c r="J159" s="37">
        <f>IF(I159="",0,+VLOOKUP(I159,'Taboa Dat. '!$H$13:$J$17,3)*12*F159*G159)</f>
        <v>0</v>
      </c>
      <c r="K159" s="37">
        <f>90.823*12*G159*F159</f>
        <v>0</v>
      </c>
      <c r="L159" s="37" t="e">
        <f>(+VLOOKUP(B159,'Taboa Dat. '!$A$4:D$41,4)*12*F159*G159)*2</f>
        <v>#N/A</v>
      </c>
      <c r="M159" s="37">
        <f>(+H159+K159+J159)*2/12</f>
        <v>0</v>
      </c>
      <c r="N159" s="37" t="e">
        <f t="shared" si="112"/>
        <v>#N/A</v>
      </c>
      <c r="O159" s="214" t="s">
        <v>263</v>
      </c>
      <c r="P159" s="37" t="e">
        <f>+IF(AND(OR(D159='Taboa Dat. '!$J$4,D159='Taboa Dat. '!$K$4,D159='Taboa Dat. '!$L$4,D159='Taboa Dat. '!$M$4,D159='Taboa Dat. '!$N$4),'Gastos de Persoal'!O159=""),'Gastos de Persoal'!N159*SUM('Taboa Dat. '!$J$5:$J$7),IF(AND(OR(D159='Taboa Dat. '!$J$4,'Taboa Dat. '!$K$4,'Taboa Dat. '!$L$4,'Taboa Dat. '!$M$4,'Taboa Dat. '!$N$4),'Gastos de Persoal'!O159="a"),'Gastos de Persoal'!N159*('Taboa Dat. '!$J$5+'Taboa Dat. '!$J$6+'Taboa Dat. '!$J$8),IF(AND(OR(D159='Taboa Dat. '!$J$4,'Taboa Dat. '!$K$4,'Taboa Dat. '!$L$4,'Taboa Dat. '!$M$4,'Taboa Dat. '!$N$4),'Gastos de Persoal'!O159="g"),'Gastos de Persoal'!N159*('Taboa Dat. '!$J$5+'Taboa Dat. '!$J$6+'Taboa Dat. '!$J$9),'Gastos de Persoal'!N159*SUM('Taboa Dat. '!$O$5:$O$7))))</f>
        <v>#N/A</v>
      </c>
      <c r="Q159" s="37"/>
      <c r="R159" s="37" t="e">
        <f>+P159+N159-Q159</f>
        <v>#N/A</v>
      </c>
    </row>
    <row r="160" spans="1:21" ht="15" customHeight="1">
      <c r="A160" s="159"/>
      <c r="B160" s="215"/>
      <c r="C160" s="25"/>
      <c r="D160" s="25"/>
      <c r="E160" s="212"/>
      <c r="F160" s="213"/>
      <c r="G160" s="221"/>
      <c r="H160" s="37">
        <f>+VLOOKUP(B160,'Taboa Dat. '!$A$3:$C$41,3)*12*G160*F160</f>
        <v>0</v>
      </c>
      <c r="I160" s="163"/>
      <c r="J160" s="37">
        <f>IF(I160="",0,+VLOOKUP(I160,'Taboa Dat. '!$H$13:$J$17,3)*12*F160*G160)</f>
        <v>0</v>
      </c>
      <c r="K160" s="37">
        <f>0*12*F160*G160</f>
        <v>0</v>
      </c>
      <c r="L160" s="37" t="e">
        <f>(+VLOOKUP(B160,'Taboa Dat. '!$A$4:D$41,4)+16.01)*12*F160*G160</f>
        <v>#N/A</v>
      </c>
      <c r="M160" s="37">
        <f>(+H160+K160+J160)*2/12</f>
        <v>0</v>
      </c>
      <c r="N160" s="37" t="e">
        <f>+H160+J160+K160+M160+L160</f>
        <v>#N/A</v>
      </c>
      <c r="O160" s="214"/>
      <c r="P160" s="37" t="e">
        <f>+IF(AND(OR(D160='Taboa Dat. '!$J$4,D160='Taboa Dat. '!$K$4,D160='Taboa Dat. '!$L$4,D160='Taboa Dat. '!$M$4,D160='Taboa Dat. '!$N$4),'Gastos de Persoal'!O160=""),'Gastos de Persoal'!N160*SUM('Taboa Dat. '!$J$5:$J$7),IF(AND(OR(D160='Taboa Dat. '!$J$4,'Taboa Dat. '!$K$4,'Taboa Dat. '!$L$4,'Taboa Dat. '!$M$4,'Taboa Dat. '!$N$4),'Gastos de Persoal'!O160="a"),'Gastos de Persoal'!N160*('Taboa Dat. '!$J$5+'Taboa Dat. '!$J$6+'Taboa Dat. '!$J$8),IF(AND(OR(D160='Taboa Dat. '!$J$4,'Taboa Dat. '!$K$4,'Taboa Dat. '!$L$4,'Taboa Dat. '!$M$4,'Taboa Dat. '!$N$4),'Gastos de Persoal'!O160="g"),'Gastos de Persoal'!N160*('Taboa Dat. '!$J$5+'Taboa Dat. '!$J$6+'Taboa Dat. '!$J$9),'Gastos de Persoal'!N160*SUM('Taboa Dat. '!$O$5:$O$7))))</f>
        <v>#N/A</v>
      </c>
      <c r="Q160" s="37"/>
      <c r="R160" s="37" t="e">
        <f>+P160+N160-Q160</f>
        <v>#N/A</v>
      </c>
      <c r="T160" s="138"/>
    </row>
    <row r="161" spans="1:19" ht="15" customHeight="1">
      <c r="A161" s="7"/>
      <c r="B161" s="25"/>
      <c r="C161" s="25"/>
      <c r="D161" s="25"/>
      <c r="E161" s="212"/>
      <c r="F161" s="213"/>
      <c r="G161" s="213"/>
      <c r="H161" s="37">
        <f>+VLOOKUP(B161,'Taboa Dat. '!$A$3:$C$41,3)*12*G161*F161</f>
        <v>0</v>
      </c>
      <c r="I161" s="163"/>
      <c r="J161" s="37">
        <f>IF(I161="",0,+VLOOKUP(I161,'Taboa Dat. '!$H$13:$J$17,3)*12*F161*G161)</f>
        <v>0</v>
      </c>
      <c r="K161" s="37">
        <f t="shared" ref="K161" si="114">0*(1+$R$2)*0</f>
        <v>0</v>
      </c>
      <c r="L161" s="37" t="e">
        <f>(+VLOOKUP(B161,'Taboa Dat. '!$A$4:D$41,4)*12*F161*G161)*2</f>
        <v>#N/A</v>
      </c>
      <c r="M161" s="37">
        <f>(+H161+K161+J161)*2/12</f>
        <v>0</v>
      </c>
      <c r="N161" s="37" t="e">
        <f t="shared" si="112"/>
        <v>#N/A</v>
      </c>
      <c r="O161" s="214"/>
      <c r="P161" s="37" t="e">
        <f>+IF(AND(OR(D161='Taboa Dat. '!$J$4,D161='Taboa Dat. '!$K$4,D161='Taboa Dat. '!$L$4,D161='Taboa Dat. '!$M$4,D161='Taboa Dat. '!$N$4),'Gastos de Persoal'!O161=""),'Gastos de Persoal'!N161*SUM('Taboa Dat. '!$J$5:$J$7),IF(AND(OR(D161='Taboa Dat. '!$J$4,'Taboa Dat. '!$K$4,'Taboa Dat. '!$L$4,'Taboa Dat. '!$M$4,'Taboa Dat. '!$N$4),'Gastos de Persoal'!O161="a"),'Gastos de Persoal'!N161*('Taboa Dat. '!$J$5+'Taboa Dat. '!$J$6+'Taboa Dat. '!$J$8),IF(AND(OR(D161='Taboa Dat. '!$J$4,'Taboa Dat. '!$K$4,'Taboa Dat. '!$L$4,'Taboa Dat. '!$M$4,'Taboa Dat. '!$N$4),'Gastos de Persoal'!O161="g"),'Gastos de Persoal'!N161*('Taboa Dat. '!$J$5+'Taboa Dat. '!$J$6+'Taboa Dat. '!$J$9),'Gastos de Persoal'!N161*SUM('Taboa Dat. '!$O$5:$O$7))))</f>
        <v>#N/A</v>
      </c>
      <c r="Q161" s="37"/>
      <c r="R161" s="37" t="e">
        <f>+P161+N161-Q161</f>
        <v>#N/A</v>
      </c>
    </row>
    <row r="162" spans="1:19" ht="15" customHeight="1">
      <c r="A162" s="7"/>
      <c r="B162" s="25"/>
      <c r="C162" s="25"/>
      <c r="D162" s="25"/>
      <c r="E162" s="212"/>
      <c r="F162" s="213"/>
      <c r="G162" s="213"/>
      <c r="H162" s="37">
        <f>+VLOOKUP(B162,'Taboa Dat. '!$A$3:$C$41,3)*12*G162*F162</f>
        <v>0</v>
      </c>
      <c r="I162" s="163"/>
      <c r="J162" s="37">
        <f>IF(I162="",0,+VLOOKUP(I162,'Taboa Dat. '!$H$13:$J$17,3)*12*G162*F162)</f>
        <v>0</v>
      </c>
      <c r="K162" s="37">
        <f>32.46*12*G162*F162</f>
        <v>0</v>
      </c>
      <c r="L162" s="37" t="e">
        <f>(+VLOOKUP(B162,'Taboa Dat. '!$A$4:D$41,4)*12*F162*G162)*2</f>
        <v>#N/A</v>
      </c>
      <c r="M162" s="37">
        <f>(+H162+K162+J162)*2/12</f>
        <v>0</v>
      </c>
      <c r="N162" s="37" t="e">
        <f t="shared" si="112"/>
        <v>#N/A</v>
      </c>
      <c r="O162" s="214"/>
      <c r="P162" s="37" t="e">
        <f>+IF(AND(OR(D162='Taboa Dat. '!$J$4,D162='Taboa Dat. '!$K$4,D162='Taboa Dat. '!$L$4,D162='Taboa Dat. '!$M$4,D162='Taboa Dat. '!$N$4),'Gastos de Persoal'!O162=""),'Gastos de Persoal'!N162*SUM('Taboa Dat. '!$J$5:$J$7),IF(AND(OR(D162='Taboa Dat. '!$J$4,'Taboa Dat. '!$K$4,'Taboa Dat. '!$L$4,'Taboa Dat. '!$M$4,'Taboa Dat. '!$N$4),'Gastos de Persoal'!O162="a"),'Gastos de Persoal'!N162*('Taboa Dat. '!$J$5+'Taboa Dat. '!$J$6+'Taboa Dat. '!$J$8),IF(AND(OR(D162='Taboa Dat. '!$J$4,'Taboa Dat. '!$K$4,'Taboa Dat. '!$L$4,'Taboa Dat. '!$M$4,'Taboa Dat. '!$N$4),'Gastos de Persoal'!O162="g"),'Gastos de Persoal'!N162*('Taboa Dat. '!$J$5+'Taboa Dat. '!$J$6+'Taboa Dat. '!$J$9),'Gastos de Persoal'!N162*SUM('Taboa Dat. '!$O$5:$O$7))))</f>
        <v>#N/A</v>
      </c>
      <c r="Q162" s="37"/>
      <c r="R162" s="37" t="e">
        <f>+P162+N162-Q162</f>
        <v>#N/A</v>
      </c>
    </row>
    <row r="163" spans="1:19" ht="15" customHeight="1">
      <c r="A163" s="7"/>
      <c r="B163" s="25"/>
      <c r="C163" s="25"/>
      <c r="D163" s="25"/>
      <c r="E163" s="212"/>
      <c r="F163" s="213"/>
      <c r="G163" s="213"/>
      <c r="H163" s="37">
        <f>+VLOOKUP(B163,'Taboa Dat. '!$A$3:$C$41,3)*12*G163*F163</f>
        <v>0</v>
      </c>
      <c r="I163" s="163"/>
      <c r="J163" s="37">
        <f>IF(I163="",0,+VLOOKUP(I163,'Taboa Dat. '!$H$13:$J$17,3)*12*G163*F163)</f>
        <v>0</v>
      </c>
      <c r="K163" s="37">
        <f t="shared" ref="K163" si="115">0*(1+$R$2)*0</f>
        <v>0</v>
      </c>
      <c r="L163" s="37" t="e">
        <f>+VLOOKUP(B163,'Taboa Dat. '!$A$4:D$41,4)*12*F163*G163</f>
        <v>#N/A</v>
      </c>
      <c r="M163" s="37">
        <f t="shared" ref="M163" si="116">(+H163+K163+J163)*2/12</f>
        <v>0</v>
      </c>
      <c r="N163" s="37" t="e">
        <f t="shared" si="112"/>
        <v>#N/A</v>
      </c>
      <c r="O163" s="214"/>
      <c r="P163" s="37" t="e">
        <f>+IF(AND(OR(D163='Taboa Dat. '!$J$4,D163='Taboa Dat. '!$K$4,D163='Taboa Dat. '!$L$4,D163='Taboa Dat. '!$M$4,D163='Taboa Dat. '!$N$4),'Gastos de Persoal'!O163=""),'Gastos de Persoal'!N163*SUM('Taboa Dat. '!$J$5:$J$7),IF(AND(OR(D163='Taboa Dat. '!$J$4,'Taboa Dat. '!$K$4,'Taboa Dat. '!$L$4,'Taboa Dat. '!$M$4,'Taboa Dat. '!$N$4),'Gastos de Persoal'!O163="a"),'Gastos de Persoal'!N163*('Taboa Dat. '!$J$5+'Taboa Dat. '!$J$6+'Taboa Dat. '!$J$8),IF(AND(OR(D163='Taboa Dat. '!$J$4,'Taboa Dat. '!$K$4,'Taboa Dat. '!$L$4,'Taboa Dat. '!$M$4,'Taboa Dat. '!$N$4),'Gastos de Persoal'!O163="g"),'Gastos de Persoal'!N163*('Taboa Dat. '!$J$5+'Taboa Dat. '!$J$6+'Taboa Dat. '!$J$9),'Gastos de Persoal'!N163*SUM('Taboa Dat. '!$O$5:$O$7))))</f>
        <v>#N/A</v>
      </c>
      <c r="Q163" s="37"/>
      <c r="R163" s="37" t="e">
        <f t="shared" ref="R163" si="117">+P163+N163-Q163</f>
        <v>#N/A</v>
      </c>
    </row>
    <row r="164" spans="1:19" ht="24.75" customHeight="1">
      <c r="A164" s="7"/>
      <c r="B164" s="25"/>
      <c r="C164" s="25"/>
      <c r="D164" s="25"/>
      <c r="E164" s="212"/>
      <c r="F164" s="213"/>
      <c r="G164" s="213"/>
      <c r="H164" s="37">
        <f>+VLOOKUP(B164,'Taboa Dat. '!$A$3:$C$41,3)*12*G164*F164</f>
        <v>0</v>
      </c>
      <c r="I164" s="163"/>
      <c r="J164" s="37">
        <f>IF(I164="",0,+VLOOKUP(I164,'Taboa Dat. '!$H$13:$J$17,3)*12*G164*F164)</f>
        <v>0</v>
      </c>
      <c r="K164" s="37">
        <f t="shared" ref="K164" si="118">0*(1+$R$2)*0</f>
        <v>0</v>
      </c>
      <c r="L164" s="37">
        <v>0</v>
      </c>
      <c r="M164" s="37">
        <f t="shared" ref="M164" si="119">(+H164+K164+J164)*2/12</f>
        <v>0</v>
      </c>
      <c r="N164" s="37">
        <f t="shared" ref="N164" si="120">+H164+J164+K164+M164+L164</f>
        <v>0</v>
      </c>
      <c r="O164" s="214"/>
      <c r="P164" s="37">
        <f>+IF(AND(OR(D164='Taboa Dat. '!$J$4,D164='Taboa Dat. '!$K$4,D164='Taboa Dat. '!$L$4,D164='Taboa Dat. '!$M$4,D164='Taboa Dat. '!$N$4),'Gastos de Persoal'!O164=""),'Gastos de Persoal'!N164*SUM('Taboa Dat. '!$J$5:$J$7),IF(AND(OR(D164='Taboa Dat. '!$J$4,'Taboa Dat. '!$K$4,'Taboa Dat. '!$L$4,'Taboa Dat. '!$M$4,'Taboa Dat. '!$N$4),'Gastos de Persoal'!O164="a"),'Gastos de Persoal'!N164*('Taboa Dat. '!$J$5+'Taboa Dat. '!$J$6+'Taboa Dat. '!$J$8),IF(AND(OR(D164='Taboa Dat. '!$J$4,'Taboa Dat. '!$K$4,'Taboa Dat. '!$L$4,'Taboa Dat. '!$M$4,'Taboa Dat. '!$N$4),'Gastos de Persoal'!O164="g"),'Gastos de Persoal'!N164*('Taboa Dat. '!$J$5+'Taboa Dat. '!$J$6+'Taboa Dat. '!$J$9),'Gastos de Persoal'!N164*SUM('Taboa Dat. '!$O$5:$O$7))))</f>
        <v>0</v>
      </c>
      <c r="Q164" s="37"/>
      <c r="R164" s="37">
        <f t="shared" ref="R164" si="121">+P164+N164-Q164</f>
        <v>0</v>
      </c>
    </row>
    <row r="165" spans="1:19" ht="12.75">
      <c r="A165" s="227" t="s">
        <v>260</v>
      </c>
      <c r="B165" s="227"/>
      <c r="C165" s="227"/>
      <c r="D165" s="227"/>
      <c r="E165" s="227"/>
      <c r="F165" s="227"/>
      <c r="G165" s="227"/>
      <c r="H165" s="38">
        <f t="shared" ref="H165:R165" si="122">SUM(H158:H164)</f>
        <v>0</v>
      </c>
      <c r="I165" s="38"/>
      <c r="J165" s="38">
        <f t="shared" si="122"/>
        <v>0</v>
      </c>
      <c r="K165" s="38">
        <f t="shared" si="122"/>
        <v>0</v>
      </c>
      <c r="L165" s="38" t="e">
        <f t="shared" si="122"/>
        <v>#N/A</v>
      </c>
      <c r="M165" s="38">
        <f t="shared" si="122"/>
        <v>0</v>
      </c>
      <c r="N165" s="38" t="e">
        <f t="shared" si="122"/>
        <v>#N/A</v>
      </c>
      <c r="O165" s="38">
        <f t="shared" si="122"/>
        <v>0</v>
      </c>
      <c r="P165" s="38" t="e">
        <f t="shared" si="122"/>
        <v>#N/A</v>
      </c>
      <c r="Q165" s="38">
        <f t="shared" si="122"/>
        <v>0</v>
      </c>
      <c r="R165" s="38" t="e">
        <f t="shared" si="122"/>
        <v>#N/A</v>
      </c>
    </row>
    <row r="166" spans="1:19" ht="13.5" customHeight="1">
      <c r="A166" s="7"/>
      <c r="B166" s="7"/>
      <c r="C166" s="7"/>
      <c r="D166" s="7"/>
      <c r="E166" s="7"/>
      <c r="F166" s="7"/>
      <c r="G166" s="7"/>
    </row>
    <row r="167" spans="1:19" ht="30" customHeight="1">
      <c r="A167" s="7"/>
      <c r="B167" s="7"/>
      <c r="C167" s="7"/>
      <c r="D167" s="7"/>
      <c r="E167" s="7"/>
      <c r="F167" s="7"/>
      <c r="G167" s="7"/>
    </row>
    <row r="168" spans="1:19" ht="12.75">
      <c r="A168" s="7" t="s">
        <v>270</v>
      </c>
      <c r="B168" s="7"/>
      <c r="C168" s="7"/>
      <c r="D168" s="7"/>
      <c r="E168" s="7"/>
      <c r="F168" s="7"/>
      <c r="G168" s="7"/>
      <c r="H168" s="39" t="e">
        <f>+H45+H66+H89+H99+H120+H131+H154+H165</f>
        <v>#N/A</v>
      </c>
      <c r="I168" s="39"/>
      <c r="J168" s="39">
        <f t="shared" ref="J168:S168" si="123">+J45+J66+J89+J99+J120+J131+J154+J165</f>
        <v>0</v>
      </c>
      <c r="K168" s="39">
        <f t="shared" si="123"/>
        <v>0</v>
      </c>
      <c r="L168" s="39" t="e">
        <f t="shared" si="123"/>
        <v>#N/A</v>
      </c>
      <c r="M168" s="39" t="e">
        <f t="shared" si="123"/>
        <v>#N/A</v>
      </c>
      <c r="N168" s="39" t="e">
        <f t="shared" si="123"/>
        <v>#N/A</v>
      </c>
      <c r="O168" s="39">
        <f t="shared" si="123"/>
        <v>0</v>
      </c>
      <c r="P168" s="39" t="e">
        <f t="shared" si="123"/>
        <v>#N/A</v>
      </c>
      <c r="Q168" s="39">
        <f t="shared" si="123"/>
        <v>0</v>
      </c>
      <c r="R168" s="39" t="e">
        <f t="shared" si="123"/>
        <v>#N/A</v>
      </c>
      <c r="S168" s="39" t="e">
        <f t="shared" si="123"/>
        <v>#N/A</v>
      </c>
    </row>
    <row r="169" spans="1:19">
      <c r="A169" s="7"/>
      <c r="B169" s="7"/>
      <c r="C169" s="7"/>
      <c r="D169" s="7"/>
      <c r="E169" s="7"/>
      <c r="F169" s="7"/>
      <c r="G169" s="7"/>
    </row>
    <row r="170" spans="1:19">
      <c r="A170" s="7"/>
      <c r="B170" s="7"/>
      <c r="C170" s="7"/>
      <c r="D170" s="7"/>
      <c r="E170" s="7"/>
      <c r="F170" s="7"/>
      <c r="G170" s="7"/>
      <c r="P170" s="37"/>
      <c r="Q170" s="37"/>
    </row>
    <row r="540" spans="1:7">
      <c r="A540" s="166"/>
      <c r="B540" s="231"/>
      <c r="C540" s="231"/>
      <c r="D540" s="231"/>
      <c r="E540" s="231"/>
      <c r="F540" s="231"/>
      <c r="G540" s="231"/>
    </row>
    <row r="1260" spans="13:13">
      <c r="M1260" s="10"/>
    </row>
    <row r="1681" spans="1:20" s="4" customFormat="1">
      <c r="A1681"/>
      <c r="B1681"/>
      <c r="C1681"/>
      <c r="D1681"/>
      <c r="E1681"/>
      <c r="F1681"/>
      <c r="G1681"/>
      <c r="H1681"/>
      <c r="I1681" s="264"/>
      <c r="J1681"/>
      <c r="K1681"/>
      <c r="L1681"/>
      <c r="M1681"/>
      <c r="N1681"/>
      <c r="O1681" s="165"/>
      <c r="R1681" s="5"/>
      <c r="S1681"/>
      <c r="T1681"/>
    </row>
    <row r="1682" spans="1:20">
      <c r="N1682" s="167"/>
      <c r="O1682" s="232"/>
      <c r="S1682" s="4"/>
      <c r="T1682" s="4"/>
    </row>
  </sheetData>
  <mergeCells count="1">
    <mergeCell ref="A1:R1"/>
  </mergeCells>
  <dataValidations count="1">
    <dataValidation type="list" allowBlank="1" showInputMessage="1" showErrorMessage="1" sqref="D85:D87 D97:D98 D137:D146 D128:D130 D162:D164" xr:uid="{00000000-0002-0000-0700-000000000000}">
      <formula1>#REF!</formula1>
    </dataValidation>
  </dataValidations>
  <pageMargins left="0.75" right="0.75" top="1" bottom="1" header="0.51181102362204722" footer="0.51181102362204722"/>
  <pageSetup paperSize="9" scale="28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1000000}">
          <x14:formula1>
            <xm:f>'Taboa Dat. '!$J$4:$Q$4</xm:f>
          </x14:formula1>
          <xm:sqref>D6:D41 D49:D64 D72:D84 D147:D153 D93:D96 D105:D119 D124:D127 D158:D161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6">
    <tabColor rgb="FF660066"/>
    <pageSetUpPr fitToPage="1"/>
  </sheetPr>
  <dimension ref="A1:U251"/>
  <sheetViews>
    <sheetView zoomScale="90" zoomScaleNormal="90" workbookViewId="0">
      <pane xSplit="4" ySplit="13" topLeftCell="E14" activePane="bottomRight" state="frozen"/>
      <selection pane="bottomRight" activeCell="A22" sqref="A22"/>
      <selection pane="bottomLeft" activeCell="A14" sqref="A14"/>
      <selection pane="topRight" activeCell="E1" sqref="E1"/>
    </sheetView>
  </sheetViews>
  <sheetFormatPr defaultColWidth="11.42578125" defaultRowHeight="15.75"/>
  <cols>
    <col min="1" max="1" width="7.28515625" customWidth="1"/>
    <col min="2" max="2" width="10.28515625" customWidth="1"/>
    <col min="3" max="3" width="37.5703125" bestFit="1" customWidth="1"/>
    <col min="4" max="4" width="14.5703125" bestFit="1" customWidth="1"/>
    <col min="5" max="5" width="9.28515625" style="53" customWidth="1"/>
    <col min="6" max="6" width="17.5703125" customWidth="1"/>
    <col min="7" max="7" width="15.140625" style="4" customWidth="1"/>
    <col min="8" max="8" width="15" style="4" bestFit="1" customWidth="1"/>
    <col min="9" max="10" width="15" style="4" customWidth="1"/>
    <col min="11" max="12" width="15" style="4" bestFit="1" customWidth="1"/>
    <col min="13" max="13" width="2.5703125" style="5" customWidth="1"/>
    <col min="14" max="14" width="12.140625" style="53" customWidth="1"/>
    <col min="15" max="15" width="17" customWidth="1"/>
    <col min="16" max="16" width="15" style="4" bestFit="1" customWidth="1"/>
    <col min="17" max="18" width="15" style="4" customWidth="1"/>
    <col min="19" max="19" width="15" style="4" bestFit="1" customWidth="1"/>
  </cols>
  <sheetData>
    <row r="1" spans="1:20" ht="9" customHeight="1">
      <c r="B1" s="14"/>
    </row>
    <row r="2" spans="1:20" ht="18.75" customHeight="1">
      <c r="A2" s="94" t="s">
        <v>271</v>
      </c>
      <c r="B2" s="16"/>
      <c r="D2" s="170"/>
      <c r="M2" s="170"/>
      <c r="N2" s="95" t="s">
        <v>272</v>
      </c>
    </row>
    <row r="3" spans="1:20" ht="8.25" customHeight="1"/>
    <row r="4" spans="1:20" s="15" customFormat="1" ht="12">
      <c r="A4" s="17" t="s">
        <v>273</v>
      </c>
      <c r="B4" s="17" t="s">
        <v>274</v>
      </c>
      <c r="C4" s="17" t="s">
        <v>275</v>
      </c>
      <c r="D4" s="17" t="s">
        <v>276</v>
      </c>
      <c r="E4" s="54" t="s">
        <v>277</v>
      </c>
      <c r="F4" s="17" t="s">
        <v>278</v>
      </c>
      <c r="G4" s="18" t="s">
        <v>279</v>
      </c>
      <c r="H4" s="85" t="s">
        <v>280</v>
      </c>
      <c r="I4" s="85" t="s">
        <v>281</v>
      </c>
      <c r="J4" s="85" t="s">
        <v>282</v>
      </c>
      <c r="K4" s="85" t="s">
        <v>283</v>
      </c>
      <c r="L4" s="85" t="s">
        <v>284</v>
      </c>
      <c r="M4" s="19"/>
      <c r="N4" s="54" t="s">
        <v>285</v>
      </c>
      <c r="O4" s="17" t="s">
        <v>286</v>
      </c>
      <c r="P4" s="85" t="s">
        <v>280</v>
      </c>
      <c r="Q4" s="85" t="s">
        <v>281</v>
      </c>
      <c r="R4" s="85" t="s">
        <v>282</v>
      </c>
      <c r="S4" s="85" t="s">
        <v>283</v>
      </c>
      <c r="T4" s="85" t="s">
        <v>284</v>
      </c>
    </row>
    <row r="5" spans="1:20" s="15" customFormat="1" ht="12">
      <c r="A5" s="25"/>
      <c r="B5" s="35"/>
      <c r="C5" s="25"/>
      <c r="D5" s="40"/>
      <c r="E5" s="36"/>
      <c r="F5" s="90">
        <v>0</v>
      </c>
      <c r="G5" s="40">
        <f t="shared" ref="G5" si="0">IF(F5&lt;+D5*E5,F5,+D5*E5)</f>
        <v>0</v>
      </c>
      <c r="H5" s="40">
        <f>+G5*25%</f>
        <v>0</v>
      </c>
      <c r="I5" s="40">
        <f>+G5*46%</f>
        <v>0</v>
      </c>
      <c r="J5" s="40">
        <f>+G5*13%</f>
        <v>0</v>
      </c>
      <c r="K5" s="40">
        <f>+G5*16%</f>
        <v>0</v>
      </c>
      <c r="L5" s="40"/>
      <c r="M5" s="19"/>
      <c r="N5" s="36"/>
      <c r="O5" s="40">
        <f t="shared" ref="O5" si="1">+N5*G5</f>
        <v>0</v>
      </c>
      <c r="P5" s="40">
        <f>+O5*25%</f>
        <v>0</v>
      </c>
      <c r="Q5" s="40">
        <f>+O5*46%</f>
        <v>0</v>
      </c>
      <c r="R5" s="40">
        <f>+O5*13%</f>
        <v>0</v>
      </c>
      <c r="S5" s="40">
        <f>+O5*16%</f>
        <v>0</v>
      </c>
      <c r="T5" s="40"/>
    </row>
    <row r="6" spans="1:20" s="15" customFormat="1" ht="12">
      <c r="A6" s="25"/>
      <c r="B6" s="35"/>
      <c r="C6" s="25"/>
      <c r="D6" s="40"/>
      <c r="E6" s="36"/>
      <c r="F6" s="90"/>
      <c r="G6" s="40">
        <f t="shared" ref="G6" si="2">IF(F6&lt;+D6*E6,F6,+D6*E6)</f>
        <v>0</v>
      </c>
      <c r="H6" s="40"/>
      <c r="I6" s="40"/>
      <c r="J6" s="40"/>
      <c r="K6" s="40"/>
      <c r="L6" s="40"/>
      <c r="M6" s="19"/>
      <c r="N6" s="36"/>
      <c r="O6" s="40">
        <f t="shared" ref="O6" si="3">+G6*N6</f>
        <v>0</v>
      </c>
      <c r="P6" s="40"/>
      <c r="Q6" s="40"/>
      <c r="R6" s="40"/>
      <c r="S6" s="40"/>
    </row>
    <row r="7" spans="1:20" ht="18">
      <c r="B7" s="1"/>
      <c r="E7" s="55" t="s">
        <v>287</v>
      </c>
      <c r="F7" s="20"/>
      <c r="G7" s="350">
        <f>SUM(G5:G6)</f>
        <v>0</v>
      </c>
      <c r="H7" s="350">
        <f t="shared" ref="H7:L7" si="4">SUM(H5:H6)</f>
        <v>0</v>
      </c>
      <c r="I7" s="350">
        <f t="shared" si="4"/>
        <v>0</v>
      </c>
      <c r="J7" s="350">
        <f t="shared" si="4"/>
        <v>0</v>
      </c>
      <c r="K7" s="350">
        <f t="shared" si="4"/>
        <v>0</v>
      </c>
      <c r="L7" s="350">
        <f t="shared" si="4"/>
        <v>0</v>
      </c>
      <c r="N7" s="55" t="s">
        <v>288</v>
      </c>
      <c r="O7" s="350">
        <f t="shared" ref="O7:T7" si="5">SUM(O5:O6)</f>
        <v>0</v>
      </c>
      <c r="P7" s="350">
        <f t="shared" si="5"/>
        <v>0</v>
      </c>
      <c r="Q7" s="350">
        <f t="shared" si="5"/>
        <v>0</v>
      </c>
      <c r="R7" s="350">
        <f t="shared" si="5"/>
        <v>0</v>
      </c>
      <c r="S7" s="350">
        <f t="shared" si="5"/>
        <v>0</v>
      </c>
      <c r="T7" s="350">
        <f t="shared" si="5"/>
        <v>0</v>
      </c>
    </row>
    <row r="8" spans="1:20" ht="12.75">
      <c r="G8" s="152" t="s">
        <v>289</v>
      </c>
      <c r="H8" s="15" t="str">
        <f>+IF(H7=0,"SIN DATOS",+H7/(SUM($H$7:$K$7)))</f>
        <v>SIN DATOS</v>
      </c>
      <c r="I8" s="15" t="str">
        <f t="shared" ref="I8:K8" si="6">+IF(I7=0,"SIN DATOS",+I7/(SUM($H$7:$K$7)))</f>
        <v>SIN DATOS</v>
      </c>
      <c r="J8" s="15" t="str">
        <f t="shared" si="6"/>
        <v>SIN DATOS</v>
      </c>
      <c r="K8" s="15" t="str">
        <f t="shared" si="6"/>
        <v>SIN DATOS</v>
      </c>
      <c r="L8" s="15" t="str">
        <f t="shared" ref="L8" si="7">+IF(L7=0,"SIN DATOS",+L7/(SUM($H$7:$K$7)))</f>
        <v>SIN DATOS</v>
      </c>
      <c r="M8" s="153"/>
      <c r="N8" s="154"/>
      <c r="O8" s="15" t="s">
        <v>290</v>
      </c>
      <c r="P8" s="15" t="str">
        <f>+IF(P7=0,"SIN DATOS",+P7/(SUM($P$7:$T$7)))</f>
        <v>SIN DATOS</v>
      </c>
      <c r="Q8" s="15" t="str">
        <f t="shared" ref="Q8:T8" si="8">+IF(Q7=0,"SIN DATOS",+Q7/(SUM($P$7:$T$7)))</f>
        <v>SIN DATOS</v>
      </c>
      <c r="R8" s="15" t="str">
        <f t="shared" si="8"/>
        <v>SIN DATOS</v>
      </c>
      <c r="S8" s="15" t="str">
        <f t="shared" si="8"/>
        <v>SIN DATOS</v>
      </c>
      <c r="T8" s="15" t="str">
        <f t="shared" si="8"/>
        <v>SIN DATOS</v>
      </c>
    </row>
    <row r="9" spans="1:20" ht="12" customHeight="1">
      <c r="A9" s="21"/>
      <c r="B9" s="21"/>
      <c r="C9" s="22"/>
      <c r="D9" s="22"/>
      <c r="E9" s="56"/>
      <c r="F9" s="22"/>
      <c r="G9" s="23"/>
      <c r="H9" s="23"/>
      <c r="I9" s="23"/>
      <c r="J9" s="23"/>
      <c r="K9" s="23"/>
      <c r="L9" s="23"/>
      <c r="M9" s="24"/>
      <c r="N9" s="56"/>
      <c r="O9" s="22"/>
      <c r="P9" s="23"/>
      <c r="Q9" s="23"/>
      <c r="R9" s="23"/>
      <c r="S9" s="23"/>
      <c r="T9" s="23"/>
    </row>
    <row r="10" spans="1:20" ht="4.5" customHeight="1"/>
    <row r="11" spans="1:20" ht="18.75" customHeight="1">
      <c r="A11" s="94" t="s">
        <v>291</v>
      </c>
      <c r="B11" s="16"/>
      <c r="M11" s="170"/>
      <c r="N11" s="95" t="s">
        <v>272</v>
      </c>
    </row>
    <row r="12" spans="1:20" ht="8.25" customHeight="1"/>
    <row r="13" spans="1:20" s="15" customFormat="1" ht="12">
      <c r="A13" s="17" t="s">
        <v>273</v>
      </c>
      <c r="B13" s="17" t="s">
        <v>274</v>
      </c>
      <c r="C13" s="17" t="s">
        <v>275</v>
      </c>
      <c r="D13" s="17" t="s">
        <v>276</v>
      </c>
      <c r="E13" s="54" t="s">
        <v>277</v>
      </c>
      <c r="F13" s="17" t="s">
        <v>278</v>
      </c>
      <c r="G13" s="18" t="s">
        <v>279</v>
      </c>
      <c r="H13" s="85" t="s">
        <v>280</v>
      </c>
      <c r="I13" s="85" t="s">
        <v>281</v>
      </c>
      <c r="J13" s="85" t="s">
        <v>282</v>
      </c>
      <c r="K13" s="85" t="s">
        <v>283</v>
      </c>
      <c r="L13" s="85" t="s">
        <v>284</v>
      </c>
      <c r="M13" s="19"/>
      <c r="N13" s="54" t="s">
        <v>285</v>
      </c>
      <c r="O13" s="17" t="s">
        <v>286</v>
      </c>
      <c r="P13" s="85" t="s">
        <v>280</v>
      </c>
      <c r="Q13" s="85" t="s">
        <v>281</v>
      </c>
      <c r="R13" s="85" t="s">
        <v>282</v>
      </c>
      <c r="S13" s="85" t="s">
        <v>283</v>
      </c>
      <c r="T13" s="85" t="s">
        <v>284</v>
      </c>
    </row>
    <row r="14" spans="1:20" s="15" customFormat="1" ht="12">
      <c r="A14" s="163"/>
      <c r="B14" s="35"/>
      <c r="C14" s="25"/>
      <c r="D14" s="40"/>
      <c r="E14" s="36"/>
      <c r="F14" s="90">
        <v>17661.46</v>
      </c>
      <c r="G14" s="40">
        <f t="shared" ref="G14:G120" si="9">IF(F14&lt;+D14*E14,F14,+D14*E14)</f>
        <v>0</v>
      </c>
      <c r="H14" s="40">
        <f>+G14*100%</f>
        <v>0</v>
      </c>
      <c r="I14" s="40"/>
      <c r="J14" s="40"/>
      <c r="K14" s="40"/>
      <c r="L14" s="40"/>
      <c r="M14" s="19"/>
      <c r="N14" s="36"/>
      <c r="O14" s="40">
        <f t="shared" ref="O14:O16" si="10">+N14*G14</f>
        <v>0</v>
      </c>
      <c r="P14" s="40">
        <f>+O14*100%</f>
        <v>0</v>
      </c>
      <c r="Q14" s="40"/>
      <c r="R14" s="40"/>
      <c r="S14" s="40"/>
      <c r="T14" s="40"/>
    </row>
    <row r="15" spans="1:20" s="15" customFormat="1" ht="12">
      <c r="A15" s="163"/>
      <c r="B15" s="35"/>
      <c r="C15" s="25"/>
      <c r="D15" s="40"/>
      <c r="E15" s="36"/>
      <c r="F15" s="90">
        <v>501016.14</v>
      </c>
      <c r="G15" s="40">
        <f t="shared" si="9"/>
        <v>0</v>
      </c>
      <c r="H15" s="40"/>
      <c r="I15" s="40">
        <f>+G15*78%</f>
        <v>0</v>
      </c>
      <c r="J15" s="40">
        <f>+G15*22%</f>
        <v>0</v>
      </c>
      <c r="K15" s="40"/>
      <c r="L15" s="40"/>
      <c r="M15" s="19"/>
      <c r="N15" s="36"/>
      <c r="O15" s="40">
        <f t="shared" si="10"/>
        <v>0</v>
      </c>
      <c r="P15" s="40"/>
      <c r="Q15" s="40">
        <f>+O15*78%</f>
        <v>0</v>
      </c>
      <c r="R15" s="40">
        <f>+O15*22%</f>
        <v>0</v>
      </c>
      <c r="S15" s="40"/>
      <c r="T15" s="40"/>
    </row>
    <row r="16" spans="1:20" s="15" customFormat="1" ht="12">
      <c r="A16" s="163"/>
      <c r="B16" s="35"/>
      <c r="C16" s="25"/>
      <c r="D16" s="40"/>
      <c r="E16" s="36"/>
      <c r="F16" s="90">
        <v>0</v>
      </c>
      <c r="G16" s="40">
        <v>0</v>
      </c>
      <c r="H16" s="40"/>
      <c r="I16" s="40">
        <f>+G16*78%</f>
        <v>0</v>
      </c>
      <c r="J16" s="40">
        <f>+G16*22%</f>
        <v>0</v>
      </c>
      <c r="K16" s="40"/>
      <c r="L16" s="40"/>
      <c r="M16" s="19"/>
      <c r="N16" s="36"/>
      <c r="O16" s="40">
        <f t="shared" si="10"/>
        <v>0</v>
      </c>
      <c r="P16" s="40"/>
      <c r="Q16" s="40">
        <f>+O16*78%</f>
        <v>0</v>
      </c>
      <c r="R16" s="40">
        <f>+O16*22%</f>
        <v>0</v>
      </c>
      <c r="S16" s="40"/>
      <c r="T16" s="40"/>
    </row>
    <row r="17" spans="1:20" s="15" customFormat="1" ht="12">
      <c r="A17" s="163"/>
      <c r="B17" s="35"/>
      <c r="C17" s="25"/>
      <c r="D17" s="40"/>
      <c r="E17" s="36"/>
      <c r="F17" s="90">
        <v>243457.32</v>
      </c>
      <c r="G17" s="40">
        <f t="shared" si="9"/>
        <v>0</v>
      </c>
      <c r="H17" s="40"/>
      <c r="I17" s="40"/>
      <c r="J17" s="40"/>
      <c r="K17" s="40">
        <f>+G17*100%</f>
        <v>0</v>
      </c>
      <c r="L17" s="40"/>
      <c r="M17" s="19"/>
      <c r="N17" s="36"/>
      <c r="O17" s="40">
        <f t="shared" ref="O17:O38" si="11">+N17*G17</f>
        <v>0</v>
      </c>
      <c r="P17" s="40"/>
      <c r="Q17" s="40"/>
      <c r="R17" s="40"/>
      <c r="S17" s="40">
        <f>+O17*100%</f>
        <v>0</v>
      </c>
      <c r="T17" s="40"/>
    </row>
    <row r="18" spans="1:20" s="15" customFormat="1" ht="12">
      <c r="A18" s="163"/>
      <c r="B18" s="35"/>
      <c r="C18" s="25"/>
      <c r="D18" s="40"/>
      <c r="E18" s="36"/>
      <c r="F18" s="90">
        <v>0</v>
      </c>
      <c r="G18" s="40">
        <v>0</v>
      </c>
      <c r="H18" s="40"/>
      <c r="I18" s="40">
        <f>+G18*78%</f>
        <v>0</v>
      </c>
      <c r="J18" s="40">
        <f>+G18*22%</f>
        <v>0</v>
      </c>
      <c r="K18" s="40"/>
      <c r="L18" s="40"/>
      <c r="M18" s="19"/>
      <c r="N18" s="36"/>
      <c r="O18" s="40">
        <f t="shared" si="11"/>
        <v>0</v>
      </c>
      <c r="P18" s="40"/>
      <c r="Q18" s="40">
        <f>+O18*78%</f>
        <v>0</v>
      </c>
      <c r="R18" s="40">
        <f>+O18*22%</f>
        <v>0</v>
      </c>
      <c r="S18" s="40"/>
      <c r="T18" s="40"/>
    </row>
    <row r="19" spans="1:20" s="15" customFormat="1" ht="12">
      <c r="A19" s="163"/>
      <c r="B19" s="35"/>
      <c r="C19" s="25"/>
      <c r="D19" s="40"/>
      <c r="E19" s="36"/>
      <c r="F19" s="90">
        <v>0</v>
      </c>
      <c r="G19" s="40">
        <v>0</v>
      </c>
      <c r="H19" s="40"/>
      <c r="I19" s="40">
        <f>+G19*100%</f>
        <v>0</v>
      </c>
      <c r="J19" s="40"/>
      <c r="K19" s="40"/>
      <c r="L19" s="40"/>
      <c r="M19" s="19"/>
      <c r="N19" s="36"/>
      <c r="O19" s="40">
        <f t="shared" si="11"/>
        <v>0</v>
      </c>
      <c r="P19" s="40"/>
      <c r="Q19" s="40">
        <f>+O19*100%</f>
        <v>0</v>
      </c>
      <c r="R19" s="40"/>
      <c r="S19" s="40"/>
      <c r="T19" s="40"/>
    </row>
    <row r="20" spans="1:20" s="15" customFormat="1" ht="12">
      <c r="A20" s="163"/>
      <c r="B20" s="35"/>
      <c r="C20" s="25"/>
      <c r="D20" s="40"/>
      <c r="E20" s="36"/>
      <c r="F20" s="90">
        <v>0</v>
      </c>
      <c r="G20" s="40">
        <f t="shared" si="9"/>
        <v>0</v>
      </c>
      <c r="H20" s="40"/>
      <c r="I20" s="40">
        <f>+G20*100%</f>
        <v>0</v>
      </c>
      <c r="J20" s="40"/>
      <c r="K20" s="40"/>
      <c r="L20" s="40"/>
      <c r="M20" s="19"/>
      <c r="N20" s="36"/>
      <c r="O20" s="40">
        <f t="shared" si="11"/>
        <v>0</v>
      </c>
      <c r="P20" s="40"/>
      <c r="Q20" s="40">
        <f>+O20*100%</f>
        <v>0</v>
      </c>
      <c r="R20" s="40"/>
      <c r="S20" s="40"/>
      <c r="T20" s="40"/>
    </row>
    <row r="21" spans="1:20" s="15" customFormat="1" ht="12">
      <c r="A21" s="163"/>
      <c r="B21" s="35"/>
      <c r="C21" s="25"/>
      <c r="D21" s="40"/>
      <c r="E21" s="36"/>
      <c r="F21" s="90">
        <v>0</v>
      </c>
      <c r="G21" s="40">
        <f t="shared" si="9"/>
        <v>0</v>
      </c>
      <c r="H21" s="40"/>
      <c r="I21" s="40"/>
      <c r="J21" s="40"/>
      <c r="K21" s="40">
        <f>+G21*100%</f>
        <v>0</v>
      </c>
      <c r="L21" s="40"/>
      <c r="M21" s="19"/>
      <c r="N21" s="36"/>
      <c r="O21" s="40">
        <f t="shared" si="11"/>
        <v>0</v>
      </c>
      <c r="P21" s="40"/>
      <c r="Q21" s="40"/>
      <c r="R21" s="40"/>
      <c r="S21" s="40">
        <f>+O21*100%</f>
        <v>0</v>
      </c>
      <c r="T21" s="40"/>
    </row>
    <row r="22" spans="1:20" s="15" customFormat="1" ht="12">
      <c r="A22" s="163"/>
      <c r="B22" s="35"/>
      <c r="C22" s="25"/>
      <c r="D22" s="40"/>
      <c r="E22" s="36"/>
      <c r="F22" s="90">
        <v>0</v>
      </c>
      <c r="G22" s="40">
        <f t="shared" si="9"/>
        <v>0</v>
      </c>
      <c r="H22" s="40">
        <f>+G22*100%</f>
        <v>0</v>
      </c>
      <c r="I22" s="40"/>
      <c r="J22" s="40"/>
      <c r="K22" s="40"/>
      <c r="L22" s="40"/>
      <c r="M22" s="19"/>
      <c r="N22" s="36"/>
      <c r="O22" s="40">
        <f t="shared" si="11"/>
        <v>0</v>
      </c>
      <c r="P22" s="40">
        <f>+O22*100%</f>
        <v>0</v>
      </c>
      <c r="Q22" s="40"/>
      <c r="R22" s="40"/>
      <c r="S22" s="40"/>
      <c r="T22" s="40"/>
    </row>
    <row r="23" spans="1:20" s="15" customFormat="1" ht="12">
      <c r="A23" s="163"/>
      <c r="B23" s="35"/>
      <c r="C23" s="25"/>
      <c r="D23" s="40"/>
      <c r="E23" s="36"/>
      <c r="F23" s="90">
        <v>0</v>
      </c>
      <c r="G23" s="40">
        <f t="shared" si="9"/>
        <v>0</v>
      </c>
      <c r="H23" s="40"/>
      <c r="I23" s="40"/>
      <c r="J23" s="40"/>
      <c r="K23" s="40">
        <f>+G23*100%</f>
        <v>0</v>
      </c>
      <c r="L23" s="40"/>
      <c r="M23" s="19"/>
      <c r="N23" s="36"/>
      <c r="O23" s="40">
        <f t="shared" si="11"/>
        <v>0</v>
      </c>
      <c r="P23" s="40"/>
      <c r="Q23" s="40"/>
      <c r="R23" s="40"/>
      <c r="S23" s="40">
        <f>+O23*100%</f>
        <v>0</v>
      </c>
      <c r="T23" s="40"/>
    </row>
    <row r="24" spans="1:20" s="15" customFormat="1" ht="12">
      <c r="A24" s="163"/>
      <c r="B24" s="35"/>
      <c r="C24" s="25"/>
      <c r="D24" s="40"/>
      <c r="E24" s="36"/>
      <c r="F24" s="90">
        <v>0</v>
      </c>
      <c r="G24" s="40">
        <f t="shared" si="9"/>
        <v>0</v>
      </c>
      <c r="H24" s="40"/>
      <c r="I24" s="40">
        <f>+G24*78%</f>
        <v>0</v>
      </c>
      <c r="J24" s="40">
        <f>+G24*22%</f>
        <v>0</v>
      </c>
      <c r="K24" s="40"/>
      <c r="L24" s="40"/>
      <c r="M24" s="19"/>
      <c r="N24" s="36"/>
      <c r="O24" s="40">
        <f t="shared" si="11"/>
        <v>0</v>
      </c>
      <c r="P24" s="40"/>
      <c r="Q24" s="40">
        <f>+O24*78%</f>
        <v>0</v>
      </c>
      <c r="R24" s="40">
        <f>+O24*22%</f>
        <v>0</v>
      </c>
      <c r="S24" s="40"/>
      <c r="T24" s="40"/>
    </row>
    <row r="25" spans="1:20" s="15" customFormat="1" ht="12">
      <c r="A25" s="163"/>
      <c r="B25" s="35"/>
      <c r="C25" s="25"/>
      <c r="D25" s="40"/>
      <c r="E25" s="36"/>
      <c r="F25" s="90">
        <v>0</v>
      </c>
      <c r="G25" s="40">
        <f t="shared" si="9"/>
        <v>0</v>
      </c>
      <c r="H25" s="40"/>
      <c r="I25" s="40">
        <f t="shared" ref="I25:I30" si="12">+G25*100%</f>
        <v>0</v>
      </c>
      <c r="J25" s="40"/>
      <c r="K25" s="40"/>
      <c r="L25" s="40"/>
      <c r="M25" s="19"/>
      <c r="N25" s="36"/>
      <c r="O25" s="40">
        <f t="shared" si="11"/>
        <v>0</v>
      </c>
      <c r="P25" s="40"/>
      <c r="Q25" s="40">
        <f t="shared" ref="Q25:Q30" si="13">+O25*100%</f>
        <v>0</v>
      </c>
      <c r="R25" s="40"/>
      <c r="S25" s="40"/>
      <c r="T25" s="40"/>
    </row>
    <row r="26" spans="1:20" s="15" customFormat="1" ht="12">
      <c r="A26" s="163"/>
      <c r="B26" s="35"/>
      <c r="C26" s="25"/>
      <c r="D26" s="40"/>
      <c r="E26" s="36"/>
      <c r="F26" s="90">
        <v>0</v>
      </c>
      <c r="G26" s="40">
        <f t="shared" si="9"/>
        <v>0</v>
      </c>
      <c r="H26" s="40"/>
      <c r="I26" s="40">
        <f t="shared" si="12"/>
        <v>0</v>
      </c>
      <c r="J26" s="40"/>
      <c r="K26" s="40"/>
      <c r="L26" s="40"/>
      <c r="M26" s="19"/>
      <c r="N26" s="36"/>
      <c r="O26" s="40">
        <f t="shared" si="11"/>
        <v>0</v>
      </c>
      <c r="P26" s="40"/>
      <c r="Q26" s="40">
        <f t="shared" si="13"/>
        <v>0</v>
      </c>
      <c r="R26" s="40"/>
      <c r="S26" s="40"/>
      <c r="T26" s="40"/>
    </row>
    <row r="27" spans="1:20" s="15" customFormat="1" ht="12">
      <c r="A27" s="163"/>
      <c r="B27" s="35"/>
      <c r="C27" s="25"/>
      <c r="D27" s="40"/>
      <c r="E27" s="36"/>
      <c r="F27" s="90">
        <v>0</v>
      </c>
      <c r="G27" s="40">
        <f t="shared" si="9"/>
        <v>0</v>
      </c>
      <c r="H27" s="40"/>
      <c r="I27" s="40">
        <f t="shared" si="12"/>
        <v>0</v>
      </c>
      <c r="J27" s="40"/>
      <c r="K27" s="40"/>
      <c r="L27" s="40"/>
      <c r="M27" s="19"/>
      <c r="N27" s="36"/>
      <c r="O27" s="40">
        <f t="shared" si="11"/>
        <v>0</v>
      </c>
      <c r="P27" s="40"/>
      <c r="Q27" s="40">
        <f t="shared" si="13"/>
        <v>0</v>
      </c>
      <c r="R27" s="40"/>
      <c r="S27" s="40"/>
      <c r="T27" s="40"/>
    </row>
    <row r="28" spans="1:20" s="15" customFormat="1" ht="12">
      <c r="A28" s="163"/>
      <c r="B28" s="35"/>
      <c r="C28" s="25"/>
      <c r="D28" s="40"/>
      <c r="E28" s="36"/>
      <c r="F28" s="90">
        <v>0</v>
      </c>
      <c r="G28" s="40">
        <f t="shared" si="9"/>
        <v>0</v>
      </c>
      <c r="H28" s="40"/>
      <c r="I28" s="40">
        <f t="shared" si="12"/>
        <v>0</v>
      </c>
      <c r="J28" s="40"/>
      <c r="K28" s="40"/>
      <c r="L28" s="40"/>
      <c r="M28" s="19"/>
      <c r="N28" s="36"/>
      <c r="O28" s="40">
        <f t="shared" si="11"/>
        <v>0</v>
      </c>
      <c r="P28" s="40"/>
      <c r="Q28" s="40">
        <f t="shared" si="13"/>
        <v>0</v>
      </c>
      <c r="R28" s="40"/>
      <c r="S28" s="40"/>
      <c r="T28" s="40"/>
    </row>
    <row r="29" spans="1:20" s="15" customFormat="1" ht="12">
      <c r="A29" s="163"/>
      <c r="B29" s="35"/>
      <c r="C29" s="25"/>
      <c r="D29" s="40"/>
      <c r="E29" s="36"/>
      <c r="F29" s="90">
        <v>0</v>
      </c>
      <c r="G29" s="40">
        <f t="shared" si="9"/>
        <v>0</v>
      </c>
      <c r="H29" s="40"/>
      <c r="I29" s="40">
        <f t="shared" si="12"/>
        <v>0</v>
      </c>
      <c r="J29" s="40"/>
      <c r="K29" s="40"/>
      <c r="L29" s="40"/>
      <c r="M29" s="19"/>
      <c r="N29" s="36"/>
      <c r="O29" s="40">
        <f t="shared" si="11"/>
        <v>0</v>
      </c>
      <c r="P29" s="40"/>
      <c r="Q29" s="40">
        <f t="shared" si="13"/>
        <v>0</v>
      </c>
      <c r="R29" s="40"/>
      <c r="S29" s="40"/>
      <c r="T29" s="40"/>
    </row>
    <row r="30" spans="1:20" s="15" customFormat="1" ht="12">
      <c r="A30" s="163"/>
      <c r="B30" s="35"/>
      <c r="C30" s="25"/>
      <c r="D30" s="40"/>
      <c r="E30" s="36"/>
      <c r="F30" s="90">
        <v>0</v>
      </c>
      <c r="G30" s="40">
        <f t="shared" si="9"/>
        <v>0</v>
      </c>
      <c r="H30" s="40"/>
      <c r="I30" s="40">
        <f t="shared" si="12"/>
        <v>0</v>
      </c>
      <c r="J30" s="40"/>
      <c r="K30" s="40"/>
      <c r="L30" s="40"/>
      <c r="M30" s="19"/>
      <c r="N30" s="36"/>
      <c r="O30" s="40">
        <f t="shared" si="11"/>
        <v>0</v>
      </c>
      <c r="P30" s="40"/>
      <c r="Q30" s="40">
        <f t="shared" si="13"/>
        <v>0</v>
      </c>
      <c r="R30" s="40"/>
      <c r="S30" s="40"/>
      <c r="T30" s="40"/>
    </row>
    <row r="31" spans="1:20" s="15" customFormat="1" ht="12">
      <c r="A31" s="163"/>
      <c r="B31" s="35"/>
      <c r="C31" s="25"/>
      <c r="D31" s="40"/>
      <c r="E31" s="36"/>
      <c r="F31" s="90">
        <v>0</v>
      </c>
      <c r="G31" s="40">
        <f t="shared" si="9"/>
        <v>0</v>
      </c>
      <c r="H31" s="40">
        <f>+G31*100%</f>
        <v>0</v>
      </c>
      <c r="I31" s="40"/>
      <c r="J31" s="40"/>
      <c r="K31" s="40"/>
      <c r="L31" s="40"/>
      <c r="M31" s="19"/>
      <c r="N31" s="36"/>
      <c r="O31" s="40">
        <f t="shared" si="11"/>
        <v>0</v>
      </c>
      <c r="P31" s="40">
        <f>+O31*100%</f>
        <v>0</v>
      </c>
      <c r="Q31" s="40"/>
      <c r="R31" s="40"/>
      <c r="S31" s="40"/>
      <c r="T31" s="40"/>
    </row>
    <row r="32" spans="1:20" s="15" customFormat="1" ht="12">
      <c r="A32" s="163"/>
      <c r="B32" s="35"/>
      <c r="C32" s="25"/>
      <c r="D32" s="40"/>
      <c r="E32" s="36"/>
      <c r="F32" s="90">
        <v>0</v>
      </c>
      <c r="G32" s="40">
        <f t="shared" si="9"/>
        <v>0</v>
      </c>
      <c r="H32" s="40">
        <f>+G32*100%</f>
        <v>0</v>
      </c>
      <c r="I32" s="40"/>
      <c r="J32" s="40"/>
      <c r="K32" s="40"/>
      <c r="L32" s="40"/>
      <c r="M32" s="19"/>
      <c r="N32" s="36"/>
      <c r="O32" s="40">
        <f t="shared" si="11"/>
        <v>0</v>
      </c>
      <c r="P32" s="40">
        <f>+O32*100%</f>
        <v>0</v>
      </c>
      <c r="Q32" s="40"/>
      <c r="R32" s="40"/>
      <c r="S32" s="40"/>
      <c r="T32" s="40"/>
    </row>
    <row r="33" spans="1:20" s="15" customFormat="1" ht="12">
      <c r="A33" s="163"/>
      <c r="B33" s="35"/>
      <c r="C33" s="25"/>
      <c r="D33" s="40"/>
      <c r="E33" s="36"/>
      <c r="F33" s="90">
        <v>0</v>
      </c>
      <c r="G33" s="40">
        <f t="shared" si="9"/>
        <v>0</v>
      </c>
      <c r="H33" s="40">
        <f>+G33*100%</f>
        <v>0</v>
      </c>
      <c r="I33" s="40"/>
      <c r="J33" s="40"/>
      <c r="K33" s="40"/>
      <c r="L33" s="40"/>
      <c r="M33" s="19"/>
      <c r="N33" s="36"/>
      <c r="O33" s="40">
        <f t="shared" si="11"/>
        <v>0</v>
      </c>
      <c r="P33" s="40">
        <f>+O33*100%</f>
        <v>0</v>
      </c>
      <c r="Q33" s="40"/>
      <c r="R33" s="40"/>
      <c r="S33" s="40"/>
      <c r="T33" s="40"/>
    </row>
    <row r="34" spans="1:20" s="15" customFormat="1" ht="12">
      <c r="A34" s="163"/>
      <c r="B34" s="35"/>
      <c r="C34" s="25"/>
      <c r="D34" s="40"/>
      <c r="E34" s="36"/>
      <c r="F34" s="90">
        <v>0</v>
      </c>
      <c r="G34" s="40">
        <f t="shared" si="9"/>
        <v>0</v>
      </c>
      <c r="H34" s="40"/>
      <c r="I34" s="40">
        <f>+G34*100%</f>
        <v>0</v>
      </c>
      <c r="J34" s="40"/>
      <c r="K34" s="40"/>
      <c r="L34" s="40"/>
      <c r="M34" s="19"/>
      <c r="N34" s="36"/>
      <c r="O34" s="40">
        <f t="shared" si="11"/>
        <v>0</v>
      </c>
      <c r="P34" s="40"/>
      <c r="Q34" s="40">
        <f>+O34*100%</f>
        <v>0</v>
      </c>
      <c r="R34" s="40"/>
      <c r="S34" s="40"/>
      <c r="T34" s="40"/>
    </row>
    <row r="35" spans="1:20" s="15" customFormat="1" ht="12">
      <c r="A35" s="163"/>
      <c r="B35" s="35"/>
      <c r="C35" s="25"/>
      <c r="D35" s="40"/>
      <c r="E35" s="36"/>
      <c r="F35" s="90">
        <v>0</v>
      </c>
      <c r="G35" s="40">
        <f t="shared" si="9"/>
        <v>0</v>
      </c>
      <c r="H35" s="40"/>
      <c r="I35" s="40">
        <f>+G35*100%</f>
        <v>0</v>
      </c>
      <c r="J35" s="40"/>
      <c r="K35" s="40"/>
      <c r="L35" s="40"/>
      <c r="M35" s="19"/>
      <c r="N35" s="36"/>
      <c r="O35" s="40">
        <f t="shared" si="11"/>
        <v>0</v>
      </c>
      <c r="P35" s="40"/>
      <c r="Q35" s="40">
        <f>+O35*100%</f>
        <v>0</v>
      </c>
      <c r="R35" s="40"/>
      <c r="S35" s="40"/>
      <c r="T35" s="40"/>
    </row>
    <row r="36" spans="1:20" s="15" customFormat="1" ht="12">
      <c r="A36" s="163"/>
      <c r="B36" s="35"/>
      <c r="C36" s="25"/>
      <c r="D36" s="40"/>
      <c r="E36" s="36"/>
      <c r="F36" s="90">
        <v>0</v>
      </c>
      <c r="G36" s="40">
        <f t="shared" si="9"/>
        <v>0</v>
      </c>
      <c r="H36" s="40"/>
      <c r="I36" s="40">
        <f>+G36*100%</f>
        <v>0</v>
      </c>
      <c r="J36" s="40"/>
      <c r="K36" s="40"/>
      <c r="L36" s="40"/>
      <c r="M36" s="19"/>
      <c r="N36" s="36"/>
      <c r="O36" s="40">
        <f t="shared" si="11"/>
        <v>0</v>
      </c>
      <c r="P36" s="40"/>
      <c r="Q36" s="40">
        <f>+O36*100%</f>
        <v>0</v>
      </c>
      <c r="R36" s="40"/>
      <c r="S36" s="40"/>
      <c r="T36" s="40"/>
    </row>
    <row r="37" spans="1:20" s="15" customFormat="1" ht="12">
      <c r="A37" s="163"/>
      <c r="B37" s="35"/>
      <c r="C37" s="25"/>
      <c r="D37" s="40"/>
      <c r="E37" s="36"/>
      <c r="F37" s="90">
        <v>0</v>
      </c>
      <c r="G37" s="40">
        <f t="shared" si="9"/>
        <v>0</v>
      </c>
      <c r="H37" s="40">
        <f>+G37*100%</f>
        <v>0</v>
      </c>
      <c r="I37" s="40"/>
      <c r="J37" s="40"/>
      <c r="K37" s="40"/>
      <c r="L37" s="40"/>
      <c r="M37" s="19"/>
      <c r="N37" s="36"/>
      <c r="O37" s="40">
        <f t="shared" si="11"/>
        <v>0</v>
      </c>
      <c r="P37" s="40">
        <f>+O37*100%</f>
        <v>0</v>
      </c>
      <c r="Q37" s="40"/>
      <c r="R37" s="40"/>
      <c r="S37" s="40"/>
      <c r="T37" s="40"/>
    </row>
    <row r="38" spans="1:20" s="15" customFormat="1" ht="12">
      <c r="A38" s="163"/>
      <c r="B38" s="35"/>
      <c r="C38" s="25"/>
      <c r="D38" s="40"/>
      <c r="E38" s="36"/>
      <c r="F38" s="90">
        <v>0</v>
      </c>
      <c r="G38" s="40">
        <f t="shared" si="9"/>
        <v>0</v>
      </c>
      <c r="H38" s="40">
        <f>+G38*100%</f>
        <v>0</v>
      </c>
      <c r="I38" s="40"/>
      <c r="J38" s="40"/>
      <c r="K38" s="40"/>
      <c r="L38" s="40"/>
      <c r="M38" s="19"/>
      <c r="N38" s="36"/>
      <c r="O38" s="40">
        <f t="shared" si="11"/>
        <v>0</v>
      </c>
      <c r="P38" s="40">
        <f>+O38*100%</f>
        <v>0</v>
      </c>
      <c r="Q38" s="40"/>
      <c r="R38" s="40"/>
      <c r="S38" s="40"/>
      <c r="T38" s="40"/>
    </row>
    <row r="39" spans="1:20" s="15" customFormat="1" ht="12">
      <c r="A39" s="163"/>
      <c r="B39" s="35"/>
      <c r="C39" s="25"/>
      <c r="D39" s="40"/>
      <c r="E39" s="36"/>
      <c r="F39" s="90">
        <v>0</v>
      </c>
      <c r="G39" s="40">
        <f t="shared" si="9"/>
        <v>0</v>
      </c>
      <c r="H39" s="40">
        <f>+G39*25%</f>
        <v>0</v>
      </c>
      <c r="I39" s="40">
        <f>+G39*46%</f>
        <v>0</v>
      </c>
      <c r="J39" s="40">
        <f>+G39*13%</f>
        <v>0</v>
      </c>
      <c r="K39" s="40">
        <f>+G39*16%</f>
        <v>0</v>
      </c>
      <c r="L39" s="40"/>
      <c r="M39" s="19"/>
      <c r="N39" s="36"/>
      <c r="O39" s="40">
        <f t="shared" ref="O39:O91" si="14">+N39*G39</f>
        <v>0</v>
      </c>
      <c r="P39" s="40">
        <f>+O39*25%</f>
        <v>0</v>
      </c>
      <c r="Q39" s="40">
        <f>+O39*46%</f>
        <v>0</v>
      </c>
      <c r="R39" s="40">
        <f>+O39*13%</f>
        <v>0</v>
      </c>
      <c r="S39" s="40">
        <f>+O39*16%</f>
        <v>0</v>
      </c>
      <c r="T39" s="40"/>
    </row>
    <row r="40" spans="1:20" s="15" customFormat="1" ht="12">
      <c r="A40" s="163"/>
      <c r="B40" s="35"/>
      <c r="C40" s="25"/>
      <c r="D40" s="40"/>
      <c r="E40" s="36"/>
      <c r="F40" s="90">
        <v>0</v>
      </c>
      <c r="G40" s="40">
        <f t="shared" si="9"/>
        <v>0</v>
      </c>
      <c r="H40" s="40"/>
      <c r="I40" s="40">
        <f>+G40*78%</f>
        <v>0</v>
      </c>
      <c r="J40" s="40">
        <f>+G40*22%</f>
        <v>0</v>
      </c>
      <c r="K40" s="40"/>
      <c r="L40" s="40"/>
      <c r="M40" s="19"/>
      <c r="N40" s="36"/>
      <c r="O40" s="40">
        <f t="shared" si="14"/>
        <v>0</v>
      </c>
      <c r="P40" s="40"/>
      <c r="Q40" s="40">
        <f>+O40*78%</f>
        <v>0</v>
      </c>
      <c r="R40" s="40">
        <f>+O40*22%</f>
        <v>0</v>
      </c>
      <c r="S40" s="40"/>
      <c r="T40" s="40"/>
    </row>
    <row r="41" spans="1:20" s="15" customFormat="1" ht="12">
      <c r="A41" s="163"/>
      <c r="B41" s="35"/>
      <c r="C41" s="25"/>
      <c r="D41" s="40"/>
      <c r="E41" s="36"/>
      <c r="F41" s="90">
        <v>0</v>
      </c>
      <c r="G41" s="40">
        <f t="shared" si="9"/>
        <v>0</v>
      </c>
      <c r="H41" s="40"/>
      <c r="I41" s="40">
        <f>+G41*78%</f>
        <v>0</v>
      </c>
      <c r="J41" s="40">
        <f>+G41*22%</f>
        <v>0</v>
      </c>
      <c r="K41" s="40"/>
      <c r="L41" s="40"/>
      <c r="M41" s="19"/>
      <c r="N41" s="36"/>
      <c r="O41" s="40">
        <f t="shared" si="14"/>
        <v>0</v>
      </c>
      <c r="P41" s="40"/>
      <c r="Q41" s="40">
        <f>+O41*78%</f>
        <v>0</v>
      </c>
      <c r="R41" s="40">
        <f>+O41*22%</f>
        <v>0</v>
      </c>
      <c r="S41" s="40"/>
      <c r="T41" s="40"/>
    </row>
    <row r="42" spans="1:20" s="15" customFormat="1" ht="12">
      <c r="A42" s="163"/>
      <c r="B42" s="35"/>
      <c r="C42" s="25"/>
      <c r="D42" s="40"/>
      <c r="E42" s="36"/>
      <c r="F42" s="90">
        <v>0</v>
      </c>
      <c r="G42" s="40">
        <f t="shared" si="9"/>
        <v>0</v>
      </c>
      <c r="H42" s="40">
        <f>+G42*100%</f>
        <v>0</v>
      </c>
      <c r="I42" s="40"/>
      <c r="J42" s="40"/>
      <c r="K42" s="40"/>
      <c r="L42" s="40"/>
      <c r="M42" s="19"/>
      <c r="N42" s="36"/>
      <c r="O42" s="40">
        <f t="shared" si="14"/>
        <v>0</v>
      </c>
      <c r="P42" s="40">
        <f>+O42*100%</f>
        <v>0</v>
      </c>
      <c r="Q42" s="40"/>
      <c r="R42" s="40"/>
      <c r="S42" s="40"/>
      <c r="T42" s="40"/>
    </row>
    <row r="43" spans="1:20" s="15" customFormat="1" ht="12">
      <c r="A43" s="163"/>
      <c r="B43" s="35"/>
      <c r="C43" s="25"/>
      <c r="D43" s="40"/>
      <c r="E43" s="36"/>
      <c r="F43" s="90">
        <v>0</v>
      </c>
      <c r="G43" s="40">
        <f t="shared" si="9"/>
        <v>0</v>
      </c>
      <c r="H43" s="40"/>
      <c r="I43" s="40">
        <f>+G43*78%</f>
        <v>0</v>
      </c>
      <c r="J43" s="40">
        <f>+G43*22%</f>
        <v>0</v>
      </c>
      <c r="K43" s="40"/>
      <c r="L43" s="40"/>
      <c r="M43" s="19"/>
      <c r="N43" s="36"/>
      <c r="O43" s="40">
        <f t="shared" si="14"/>
        <v>0</v>
      </c>
      <c r="P43" s="40"/>
      <c r="Q43" s="40">
        <f>+O43*78%</f>
        <v>0</v>
      </c>
      <c r="R43" s="40">
        <f>+O43*22%</f>
        <v>0</v>
      </c>
      <c r="S43" s="40"/>
      <c r="T43" s="40"/>
    </row>
    <row r="44" spans="1:20" s="15" customFormat="1" ht="12">
      <c r="A44" s="163"/>
      <c r="B44" s="35"/>
      <c r="C44" s="25"/>
      <c r="D44" s="40"/>
      <c r="E44" s="36"/>
      <c r="F44" s="90">
        <v>0</v>
      </c>
      <c r="G44" s="40">
        <f t="shared" si="9"/>
        <v>0</v>
      </c>
      <c r="H44" s="40">
        <f>+G44*100%</f>
        <v>0</v>
      </c>
      <c r="I44" s="40"/>
      <c r="J44" s="40"/>
      <c r="K44" s="40"/>
      <c r="L44" s="40"/>
      <c r="M44" s="19"/>
      <c r="N44" s="36"/>
      <c r="O44" s="40">
        <f t="shared" si="14"/>
        <v>0</v>
      </c>
      <c r="P44" s="40">
        <f>+O44*100%</f>
        <v>0</v>
      </c>
      <c r="Q44" s="40"/>
      <c r="R44" s="40"/>
      <c r="S44" s="40"/>
      <c r="T44" s="40"/>
    </row>
    <row r="45" spans="1:20" s="15" customFormat="1" ht="12">
      <c r="A45" s="163"/>
      <c r="B45" s="35"/>
      <c r="C45" s="25"/>
      <c r="D45" s="40"/>
      <c r="E45" s="36"/>
      <c r="F45" s="90">
        <v>0</v>
      </c>
      <c r="G45" s="40">
        <f t="shared" si="9"/>
        <v>0</v>
      </c>
      <c r="H45" s="40">
        <f>+G45*100%</f>
        <v>0</v>
      </c>
      <c r="I45" s="40"/>
      <c r="J45" s="40"/>
      <c r="K45" s="40"/>
      <c r="L45" s="40"/>
      <c r="M45" s="19"/>
      <c r="N45" s="36"/>
      <c r="O45" s="40">
        <f t="shared" si="14"/>
        <v>0</v>
      </c>
      <c r="P45" s="40">
        <f>+O45*100%</f>
        <v>0</v>
      </c>
      <c r="Q45" s="40"/>
      <c r="R45" s="40"/>
      <c r="S45" s="40"/>
      <c r="T45" s="40"/>
    </row>
    <row r="46" spans="1:20" s="15" customFormat="1" ht="12">
      <c r="A46" s="163"/>
      <c r="B46" s="35"/>
      <c r="C46" s="25"/>
      <c r="D46" s="40"/>
      <c r="E46" s="36"/>
      <c r="F46" s="90">
        <v>0</v>
      </c>
      <c r="G46" s="40">
        <f t="shared" si="9"/>
        <v>0</v>
      </c>
      <c r="H46" s="40"/>
      <c r="I46" s="40">
        <f>+G46*78%</f>
        <v>0</v>
      </c>
      <c r="J46" s="40">
        <f>+G46*22%</f>
        <v>0</v>
      </c>
      <c r="K46" s="40"/>
      <c r="L46" s="40"/>
      <c r="M46" s="19"/>
      <c r="N46" s="36"/>
      <c r="O46" s="40">
        <f t="shared" si="14"/>
        <v>0</v>
      </c>
      <c r="P46" s="40"/>
      <c r="Q46" s="40">
        <f>+O46*78%</f>
        <v>0</v>
      </c>
      <c r="R46" s="40">
        <f>+O46*22%</f>
        <v>0</v>
      </c>
      <c r="S46" s="40"/>
      <c r="T46" s="40"/>
    </row>
    <row r="47" spans="1:20" s="15" customFormat="1" ht="12">
      <c r="A47" s="163"/>
      <c r="B47" s="35"/>
      <c r="C47" s="25"/>
      <c r="D47" s="40"/>
      <c r="E47" s="36"/>
      <c r="F47" s="90">
        <v>0</v>
      </c>
      <c r="G47" s="40">
        <f t="shared" si="9"/>
        <v>0</v>
      </c>
      <c r="H47" s="40">
        <f>+G47*100%</f>
        <v>0</v>
      </c>
      <c r="I47" s="40"/>
      <c r="J47" s="40"/>
      <c r="K47" s="40"/>
      <c r="L47" s="40"/>
      <c r="M47" s="19"/>
      <c r="N47" s="36"/>
      <c r="O47" s="40">
        <f t="shared" si="14"/>
        <v>0</v>
      </c>
      <c r="P47" s="40">
        <f>+O47*100%</f>
        <v>0</v>
      </c>
      <c r="Q47" s="40"/>
      <c r="R47" s="40"/>
      <c r="S47" s="40"/>
      <c r="T47" s="40"/>
    </row>
    <row r="48" spans="1:20" s="15" customFormat="1" ht="12">
      <c r="A48" s="163"/>
      <c r="B48" s="35"/>
      <c r="C48" s="25"/>
      <c r="D48" s="40"/>
      <c r="E48" s="36"/>
      <c r="F48" s="90">
        <v>0</v>
      </c>
      <c r="G48" s="40">
        <f t="shared" si="9"/>
        <v>0</v>
      </c>
      <c r="H48" s="40">
        <f>+G48*100%</f>
        <v>0</v>
      </c>
      <c r="I48" s="40"/>
      <c r="J48" s="40"/>
      <c r="K48" s="40"/>
      <c r="L48" s="40"/>
      <c r="M48" s="19"/>
      <c r="N48" s="36"/>
      <c r="O48" s="40">
        <f t="shared" si="14"/>
        <v>0</v>
      </c>
      <c r="P48" s="40">
        <f>+O48*100%</f>
        <v>0</v>
      </c>
      <c r="Q48" s="40"/>
      <c r="R48" s="40"/>
      <c r="S48" s="40"/>
      <c r="T48" s="40"/>
    </row>
    <row r="49" spans="1:20" s="15" customFormat="1" ht="12">
      <c r="A49" s="163"/>
      <c r="B49" s="35"/>
      <c r="C49" s="25"/>
      <c r="D49" s="40"/>
      <c r="E49" s="36"/>
      <c r="F49" s="90">
        <v>0</v>
      </c>
      <c r="G49" s="40">
        <f t="shared" si="9"/>
        <v>0</v>
      </c>
      <c r="H49" s="40">
        <f>+G49*100%</f>
        <v>0</v>
      </c>
      <c r="I49" s="40"/>
      <c r="J49" s="40"/>
      <c r="K49" s="40"/>
      <c r="L49" s="40"/>
      <c r="M49" s="19"/>
      <c r="N49" s="36"/>
      <c r="O49" s="40">
        <f t="shared" si="14"/>
        <v>0</v>
      </c>
      <c r="P49" s="40">
        <f>+O49*100%</f>
        <v>0</v>
      </c>
      <c r="Q49" s="40"/>
      <c r="R49" s="40"/>
      <c r="S49" s="40"/>
      <c r="T49" s="40"/>
    </row>
    <row r="50" spans="1:20" s="15" customFormat="1" ht="12">
      <c r="A50" s="163"/>
      <c r="B50" s="35"/>
      <c r="C50" s="25"/>
      <c r="D50" s="40"/>
      <c r="E50" s="36"/>
      <c r="F50" s="90">
        <v>0</v>
      </c>
      <c r="G50" s="40">
        <f t="shared" si="9"/>
        <v>0</v>
      </c>
      <c r="H50" s="40">
        <f>+G50*100%</f>
        <v>0</v>
      </c>
      <c r="I50" s="40"/>
      <c r="J50" s="40"/>
      <c r="K50" s="40"/>
      <c r="L50" s="40"/>
      <c r="M50" s="19"/>
      <c r="N50" s="36"/>
      <c r="O50" s="40">
        <f t="shared" si="14"/>
        <v>0</v>
      </c>
      <c r="P50" s="40">
        <f>+O50*100%</f>
        <v>0</v>
      </c>
      <c r="Q50" s="40"/>
      <c r="R50" s="40"/>
      <c r="S50" s="40"/>
      <c r="T50" s="40"/>
    </row>
    <row r="51" spans="1:20" s="15" customFormat="1" ht="12">
      <c r="A51" s="163"/>
      <c r="B51" s="35"/>
      <c r="C51" s="25"/>
      <c r="D51" s="40"/>
      <c r="E51" s="36"/>
      <c r="F51" s="90">
        <v>0</v>
      </c>
      <c r="G51" s="40">
        <f t="shared" si="9"/>
        <v>0</v>
      </c>
      <c r="H51" s="40"/>
      <c r="I51" s="40">
        <f>+G51*78%</f>
        <v>0</v>
      </c>
      <c r="J51" s="40">
        <f>+G51*22%</f>
        <v>0</v>
      </c>
      <c r="K51" s="40"/>
      <c r="L51" s="40"/>
      <c r="M51" s="19"/>
      <c r="N51" s="36"/>
      <c r="O51" s="40">
        <f t="shared" si="14"/>
        <v>0</v>
      </c>
      <c r="P51" s="40"/>
      <c r="Q51" s="40">
        <f>+O51*78%</f>
        <v>0</v>
      </c>
      <c r="R51" s="40">
        <f>+O51*22%</f>
        <v>0</v>
      </c>
      <c r="S51" s="40"/>
      <c r="T51" s="40"/>
    </row>
    <row r="52" spans="1:20" s="15" customFormat="1" ht="12">
      <c r="A52" s="163"/>
      <c r="B52" s="35"/>
      <c r="C52" s="25"/>
      <c r="D52" s="40"/>
      <c r="E52" s="36"/>
      <c r="F52" s="90">
        <v>0</v>
      </c>
      <c r="G52" s="40">
        <f t="shared" si="9"/>
        <v>0</v>
      </c>
      <c r="H52" s="40">
        <f>+G52*100%</f>
        <v>0</v>
      </c>
      <c r="I52" s="40"/>
      <c r="J52" s="40"/>
      <c r="K52" s="40"/>
      <c r="L52" s="40"/>
      <c r="M52" s="19"/>
      <c r="N52" s="36"/>
      <c r="O52" s="40">
        <f t="shared" si="14"/>
        <v>0</v>
      </c>
      <c r="P52" s="40">
        <f>+O52*100%</f>
        <v>0</v>
      </c>
      <c r="Q52" s="40"/>
      <c r="R52" s="40"/>
      <c r="S52" s="40"/>
      <c r="T52" s="40"/>
    </row>
    <row r="53" spans="1:20" s="15" customFormat="1" ht="12">
      <c r="A53" s="163"/>
      <c r="B53" s="35"/>
      <c r="C53" s="25"/>
      <c r="D53" s="40"/>
      <c r="E53" s="36"/>
      <c r="F53" s="90">
        <v>0</v>
      </c>
      <c r="G53" s="40">
        <f t="shared" si="9"/>
        <v>0</v>
      </c>
      <c r="H53" s="40"/>
      <c r="I53" s="40">
        <f>+G53*100%</f>
        <v>0</v>
      </c>
      <c r="J53" s="40"/>
      <c r="K53" s="40"/>
      <c r="L53" s="40"/>
      <c r="M53" s="19"/>
      <c r="N53" s="36"/>
      <c r="O53" s="40">
        <f t="shared" si="14"/>
        <v>0</v>
      </c>
      <c r="P53" s="40"/>
      <c r="Q53" s="40">
        <f>+O53*100%</f>
        <v>0</v>
      </c>
      <c r="R53" s="40"/>
      <c r="S53" s="40"/>
      <c r="T53" s="40"/>
    </row>
    <row r="54" spans="1:20" s="15" customFormat="1" ht="12">
      <c r="A54" s="163"/>
      <c r="B54" s="35"/>
      <c r="C54" s="25"/>
      <c r="D54" s="40"/>
      <c r="E54" s="36"/>
      <c r="F54" s="90">
        <v>0</v>
      </c>
      <c r="G54" s="40">
        <f t="shared" si="9"/>
        <v>0</v>
      </c>
      <c r="H54" s="40"/>
      <c r="I54" s="40">
        <f>+G54*100%</f>
        <v>0</v>
      </c>
      <c r="J54" s="40"/>
      <c r="K54" s="40"/>
      <c r="L54" s="40"/>
      <c r="M54" s="19"/>
      <c r="N54" s="36"/>
      <c r="O54" s="40">
        <f t="shared" si="14"/>
        <v>0</v>
      </c>
      <c r="P54" s="40"/>
      <c r="Q54" s="40">
        <f>+O54*100%</f>
        <v>0</v>
      </c>
      <c r="R54" s="40"/>
      <c r="S54" s="40"/>
      <c r="T54" s="40"/>
    </row>
    <row r="55" spans="1:20" s="15" customFormat="1" ht="12">
      <c r="A55" s="163"/>
      <c r="B55" s="35"/>
      <c r="C55" s="25"/>
      <c r="D55" s="40"/>
      <c r="E55" s="36"/>
      <c r="F55" s="90">
        <v>0</v>
      </c>
      <c r="G55" s="40">
        <f t="shared" si="9"/>
        <v>0</v>
      </c>
      <c r="H55" s="40"/>
      <c r="I55" s="40">
        <f>+G55*100%</f>
        <v>0</v>
      </c>
      <c r="J55" s="40"/>
      <c r="K55" s="40"/>
      <c r="L55" s="40"/>
      <c r="M55" s="19"/>
      <c r="N55" s="36"/>
      <c r="O55" s="40">
        <f t="shared" si="14"/>
        <v>0</v>
      </c>
      <c r="P55" s="40"/>
      <c r="Q55" s="40">
        <f>+O55*100%</f>
        <v>0</v>
      </c>
      <c r="R55" s="40"/>
      <c r="S55" s="40"/>
      <c r="T55" s="40"/>
    </row>
    <row r="56" spans="1:20" s="15" customFormat="1" ht="12">
      <c r="A56" s="163"/>
      <c r="B56" s="35"/>
      <c r="C56" s="25"/>
      <c r="D56" s="40"/>
      <c r="E56" s="36"/>
      <c r="F56" s="90">
        <v>0</v>
      </c>
      <c r="G56" s="40">
        <f t="shared" si="9"/>
        <v>0</v>
      </c>
      <c r="H56" s="40"/>
      <c r="I56" s="40">
        <f>+G56*100%</f>
        <v>0</v>
      </c>
      <c r="J56" s="40"/>
      <c r="K56" s="40"/>
      <c r="L56" s="40"/>
      <c r="M56" s="19"/>
      <c r="N56" s="36"/>
      <c r="O56" s="40">
        <f t="shared" si="14"/>
        <v>0</v>
      </c>
      <c r="P56" s="40"/>
      <c r="Q56" s="40">
        <f>+O56*100%</f>
        <v>0</v>
      </c>
      <c r="R56" s="40"/>
      <c r="S56" s="40"/>
      <c r="T56" s="40"/>
    </row>
    <row r="57" spans="1:20" s="15" customFormat="1" ht="12">
      <c r="A57" s="163"/>
      <c r="B57" s="35"/>
      <c r="C57" s="25"/>
      <c r="D57" s="40"/>
      <c r="E57" s="36"/>
      <c r="F57" s="90">
        <v>0</v>
      </c>
      <c r="G57" s="40">
        <f t="shared" si="9"/>
        <v>0</v>
      </c>
      <c r="H57" s="40">
        <f>+G57*100%</f>
        <v>0</v>
      </c>
      <c r="I57" s="40"/>
      <c r="J57" s="40"/>
      <c r="K57" s="40"/>
      <c r="L57" s="40"/>
      <c r="M57" s="19"/>
      <c r="N57" s="36"/>
      <c r="O57" s="40">
        <f t="shared" si="14"/>
        <v>0</v>
      </c>
      <c r="P57" s="40">
        <f>+O57*100%</f>
        <v>0</v>
      </c>
      <c r="Q57" s="40"/>
      <c r="R57" s="40"/>
      <c r="S57" s="40"/>
      <c r="T57" s="40"/>
    </row>
    <row r="58" spans="1:20" s="15" customFormat="1" ht="12">
      <c r="A58" s="163"/>
      <c r="B58" s="35"/>
      <c r="C58" s="25"/>
      <c r="D58" s="40"/>
      <c r="E58" s="36"/>
      <c r="F58" s="90">
        <v>0</v>
      </c>
      <c r="G58" s="40">
        <f t="shared" si="9"/>
        <v>0</v>
      </c>
      <c r="H58" s="40"/>
      <c r="I58" s="40">
        <f>+G58*78%</f>
        <v>0</v>
      </c>
      <c r="J58" s="40">
        <f>+G58*22%</f>
        <v>0</v>
      </c>
      <c r="K58" s="40"/>
      <c r="L58" s="40"/>
      <c r="M58" s="19"/>
      <c r="N58" s="36"/>
      <c r="O58" s="40">
        <f t="shared" si="14"/>
        <v>0</v>
      </c>
      <c r="P58" s="40"/>
      <c r="Q58" s="40">
        <f>+O58*78%</f>
        <v>0</v>
      </c>
      <c r="R58" s="40">
        <f>+O58*22%</f>
        <v>0</v>
      </c>
      <c r="S58" s="40"/>
      <c r="T58" s="40"/>
    </row>
    <row r="59" spans="1:20" s="15" customFormat="1" ht="12">
      <c r="A59" s="163"/>
      <c r="B59" s="35"/>
      <c r="C59" s="25"/>
      <c r="D59" s="40"/>
      <c r="E59" s="36"/>
      <c r="F59" s="90">
        <v>0</v>
      </c>
      <c r="G59" s="40">
        <f t="shared" si="9"/>
        <v>0</v>
      </c>
      <c r="H59" s="40"/>
      <c r="I59" s="40"/>
      <c r="J59" s="40"/>
      <c r="K59" s="40">
        <f>+G59*100%</f>
        <v>0</v>
      </c>
      <c r="L59" s="40"/>
      <c r="M59" s="19"/>
      <c r="N59" s="36"/>
      <c r="O59" s="40">
        <f t="shared" si="14"/>
        <v>0</v>
      </c>
      <c r="P59" s="40"/>
      <c r="Q59" s="40"/>
      <c r="R59" s="40"/>
      <c r="S59" s="40">
        <f>+O59*100%</f>
        <v>0</v>
      </c>
      <c r="T59" s="40"/>
    </row>
    <row r="60" spans="1:20" s="15" customFormat="1" ht="12">
      <c r="A60" s="163"/>
      <c r="B60" s="35"/>
      <c r="C60" s="25"/>
      <c r="D60" s="40"/>
      <c r="E60" s="36"/>
      <c r="F60" s="90">
        <v>0</v>
      </c>
      <c r="G60" s="40">
        <f t="shared" si="9"/>
        <v>0</v>
      </c>
      <c r="H60" s="40"/>
      <c r="I60" s="40">
        <f>+G60*78%</f>
        <v>0</v>
      </c>
      <c r="J60" s="40">
        <f>+G60*22%</f>
        <v>0</v>
      </c>
      <c r="K60" s="40"/>
      <c r="L60" s="40"/>
      <c r="M60" s="19"/>
      <c r="N60" s="36"/>
      <c r="O60" s="40">
        <f t="shared" si="14"/>
        <v>0</v>
      </c>
      <c r="P60" s="40"/>
      <c r="Q60" s="40">
        <f>+O60*78%</f>
        <v>0</v>
      </c>
      <c r="R60" s="40">
        <f>+O60*22%</f>
        <v>0</v>
      </c>
      <c r="S60" s="40"/>
      <c r="T60" s="40"/>
    </row>
    <row r="61" spans="1:20" s="15" customFormat="1" ht="12">
      <c r="A61" s="163"/>
      <c r="B61" s="35"/>
      <c r="C61" s="25"/>
      <c r="D61" s="40"/>
      <c r="E61" s="36"/>
      <c r="F61" s="90">
        <v>0</v>
      </c>
      <c r="G61" s="40">
        <f t="shared" si="9"/>
        <v>0</v>
      </c>
      <c r="H61" s="40">
        <f>+G61*100%</f>
        <v>0</v>
      </c>
      <c r="I61" s="40"/>
      <c r="J61" s="40"/>
      <c r="K61" s="40"/>
      <c r="L61" s="40"/>
      <c r="M61" s="19"/>
      <c r="N61" s="36"/>
      <c r="O61" s="40">
        <f t="shared" si="14"/>
        <v>0</v>
      </c>
      <c r="P61" s="40">
        <f>+O61*100%</f>
        <v>0</v>
      </c>
      <c r="Q61" s="40"/>
      <c r="R61" s="40"/>
      <c r="S61" s="40"/>
      <c r="T61" s="40"/>
    </row>
    <row r="62" spans="1:20" s="15" customFormat="1" ht="12">
      <c r="A62" s="163"/>
      <c r="B62" s="35"/>
      <c r="C62" s="25"/>
      <c r="D62" s="40"/>
      <c r="E62" s="36"/>
      <c r="F62" s="90">
        <v>0</v>
      </c>
      <c r="G62" s="40">
        <f t="shared" si="9"/>
        <v>0</v>
      </c>
      <c r="H62" s="40"/>
      <c r="I62" s="40">
        <f>+G62*78%</f>
        <v>0</v>
      </c>
      <c r="J62" s="40">
        <f>+G62*22%</f>
        <v>0</v>
      </c>
      <c r="K62" s="40"/>
      <c r="L62" s="40"/>
      <c r="M62" s="19"/>
      <c r="N62" s="36"/>
      <c r="O62" s="40">
        <f t="shared" si="14"/>
        <v>0</v>
      </c>
      <c r="P62" s="40"/>
      <c r="Q62" s="40">
        <f>+O62*78%</f>
        <v>0</v>
      </c>
      <c r="R62" s="40">
        <f>+O62*22%</f>
        <v>0</v>
      </c>
      <c r="S62" s="40"/>
      <c r="T62" s="40"/>
    </row>
    <row r="63" spans="1:20" s="15" customFormat="1" ht="12">
      <c r="A63" s="163"/>
      <c r="B63" s="35"/>
      <c r="C63" s="25"/>
      <c r="D63" s="40"/>
      <c r="E63" s="36"/>
      <c r="F63" s="90">
        <v>0</v>
      </c>
      <c r="G63" s="40">
        <f t="shared" si="9"/>
        <v>0</v>
      </c>
      <c r="H63" s="40"/>
      <c r="I63" s="40"/>
      <c r="J63" s="40"/>
      <c r="K63" s="40">
        <f>+G63*100%</f>
        <v>0</v>
      </c>
      <c r="L63" s="40"/>
      <c r="M63" s="19"/>
      <c r="N63" s="36"/>
      <c r="O63" s="40">
        <f t="shared" si="14"/>
        <v>0</v>
      </c>
      <c r="P63" s="40"/>
      <c r="Q63" s="40"/>
      <c r="R63" s="40"/>
      <c r="S63" s="40">
        <f>+O63*100%</f>
        <v>0</v>
      </c>
      <c r="T63" s="40"/>
    </row>
    <row r="64" spans="1:20" s="15" customFormat="1" ht="12">
      <c r="A64" s="163"/>
      <c r="B64" s="35"/>
      <c r="C64" s="25"/>
      <c r="D64" s="40"/>
      <c r="E64" s="36"/>
      <c r="F64" s="90">
        <v>0</v>
      </c>
      <c r="G64" s="40">
        <f t="shared" si="9"/>
        <v>0</v>
      </c>
      <c r="H64" s="40"/>
      <c r="I64" s="40">
        <f>+G64*78%</f>
        <v>0</v>
      </c>
      <c r="J64" s="40">
        <f>+G64*22%</f>
        <v>0</v>
      </c>
      <c r="K64" s="40"/>
      <c r="L64" s="40"/>
      <c r="M64" s="19"/>
      <c r="N64" s="36"/>
      <c r="O64" s="40">
        <f t="shared" si="14"/>
        <v>0</v>
      </c>
      <c r="P64" s="40"/>
      <c r="Q64" s="40">
        <f>+O64*78%</f>
        <v>0</v>
      </c>
      <c r="R64" s="40">
        <f>+O64*22%</f>
        <v>0</v>
      </c>
      <c r="S64" s="40"/>
      <c r="T64" s="40"/>
    </row>
    <row r="65" spans="1:20" s="15" customFormat="1" ht="12">
      <c r="A65" s="163"/>
      <c r="B65" s="35"/>
      <c r="C65" s="25"/>
      <c r="D65" s="40"/>
      <c r="E65" s="36"/>
      <c r="F65" s="90">
        <v>0</v>
      </c>
      <c r="G65" s="40">
        <f t="shared" si="9"/>
        <v>0</v>
      </c>
      <c r="H65" s="40">
        <f>+G65*100%</f>
        <v>0</v>
      </c>
      <c r="I65" s="40"/>
      <c r="J65" s="40"/>
      <c r="K65" s="40"/>
      <c r="L65" s="40"/>
      <c r="M65" s="19"/>
      <c r="N65" s="36"/>
      <c r="O65" s="40">
        <f t="shared" si="14"/>
        <v>0</v>
      </c>
      <c r="P65" s="40">
        <f>+O65*100%</f>
        <v>0</v>
      </c>
      <c r="Q65" s="40"/>
      <c r="R65" s="40"/>
      <c r="S65" s="40"/>
      <c r="T65" s="40"/>
    </row>
    <row r="66" spans="1:20" s="15" customFormat="1" ht="12">
      <c r="A66" s="163"/>
      <c r="B66" s="35"/>
      <c r="C66" s="25"/>
      <c r="D66" s="40"/>
      <c r="E66" s="36"/>
      <c r="F66" s="90">
        <v>0</v>
      </c>
      <c r="G66" s="40">
        <f t="shared" si="9"/>
        <v>0</v>
      </c>
      <c r="H66" s="40"/>
      <c r="I66" s="40">
        <f>+G66*78%</f>
        <v>0</v>
      </c>
      <c r="J66" s="40">
        <f>+G66*22%</f>
        <v>0</v>
      </c>
      <c r="K66" s="40"/>
      <c r="L66" s="40"/>
      <c r="M66" s="19"/>
      <c r="N66" s="36"/>
      <c r="O66" s="40">
        <f t="shared" si="14"/>
        <v>0</v>
      </c>
      <c r="P66" s="40"/>
      <c r="Q66" s="40">
        <f>+O66*78%</f>
        <v>0</v>
      </c>
      <c r="R66" s="40">
        <f>+O66*22%</f>
        <v>0</v>
      </c>
      <c r="S66" s="40"/>
      <c r="T66" s="40"/>
    </row>
    <row r="67" spans="1:20" s="15" customFormat="1" ht="12">
      <c r="A67" s="163"/>
      <c r="B67" s="35"/>
      <c r="C67" s="25"/>
      <c r="D67" s="40"/>
      <c r="E67" s="36"/>
      <c r="F67" s="90">
        <v>0</v>
      </c>
      <c r="G67" s="40">
        <f t="shared" si="9"/>
        <v>0</v>
      </c>
      <c r="H67" s="40">
        <f>+G67*100%</f>
        <v>0</v>
      </c>
      <c r="I67" s="40"/>
      <c r="J67" s="40"/>
      <c r="K67" s="40"/>
      <c r="L67" s="40"/>
      <c r="M67" s="19"/>
      <c r="N67" s="36"/>
      <c r="O67" s="40">
        <f t="shared" si="14"/>
        <v>0</v>
      </c>
      <c r="P67" s="40">
        <f>+O67*100%</f>
        <v>0</v>
      </c>
      <c r="Q67" s="40"/>
      <c r="R67" s="40"/>
      <c r="S67" s="40"/>
      <c r="T67" s="40"/>
    </row>
    <row r="68" spans="1:20" s="15" customFormat="1" ht="12">
      <c r="A68" s="163"/>
      <c r="B68" s="35"/>
      <c r="C68" s="25"/>
      <c r="D68" s="40"/>
      <c r="E68" s="36"/>
      <c r="F68" s="90">
        <v>0</v>
      </c>
      <c r="G68" s="40">
        <f t="shared" si="9"/>
        <v>0</v>
      </c>
      <c r="H68" s="40"/>
      <c r="I68" s="40">
        <f>+G68*78%</f>
        <v>0</v>
      </c>
      <c r="J68" s="40">
        <f>+G68*22%</f>
        <v>0</v>
      </c>
      <c r="K68" s="40"/>
      <c r="L68" s="40"/>
      <c r="M68" s="19"/>
      <c r="N68" s="36"/>
      <c r="O68" s="40">
        <f t="shared" si="14"/>
        <v>0</v>
      </c>
      <c r="P68" s="40"/>
      <c r="Q68" s="40">
        <f>+O68*78%</f>
        <v>0</v>
      </c>
      <c r="R68" s="40">
        <f>+O68*22%</f>
        <v>0</v>
      </c>
      <c r="S68" s="40"/>
      <c r="T68" s="40"/>
    </row>
    <row r="69" spans="1:20" s="15" customFormat="1" ht="12">
      <c r="A69" s="163"/>
      <c r="B69" s="35"/>
      <c r="C69" s="25"/>
      <c r="D69" s="40"/>
      <c r="E69" s="36"/>
      <c r="F69" s="90">
        <v>0</v>
      </c>
      <c r="G69" s="40">
        <f t="shared" si="9"/>
        <v>0</v>
      </c>
      <c r="H69" s="40"/>
      <c r="I69" s="40"/>
      <c r="J69" s="40"/>
      <c r="K69" s="40">
        <f>+G69*100%</f>
        <v>0</v>
      </c>
      <c r="L69" s="40"/>
      <c r="M69" s="19"/>
      <c r="N69" s="36"/>
      <c r="O69" s="40">
        <f t="shared" si="14"/>
        <v>0</v>
      </c>
      <c r="P69" s="40"/>
      <c r="Q69" s="40"/>
      <c r="R69" s="40"/>
      <c r="S69" s="40">
        <f>+O69*100%</f>
        <v>0</v>
      </c>
      <c r="T69" s="40"/>
    </row>
    <row r="70" spans="1:20" s="15" customFormat="1" ht="12">
      <c r="A70" s="163"/>
      <c r="B70" s="35"/>
      <c r="C70" s="25"/>
      <c r="D70" s="40"/>
      <c r="E70" s="36"/>
      <c r="F70" s="90">
        <v>0</v>
      </c>
      <c r="G70" s="40">
        <f t="shared" si="9"/>
        <v>0</v>
      </c>
      <c r="H70" s="40"/>
      <c r="I70" s="40"/>
      <c r="J70" s="40"/>
      <c r="K70" s="40">
        <f>+G70*100%</f>
        <v>0</v>
      </c>
      <c r="L70" s="40"/>
      <c r="M70" s="19"/>
      <c r="N70" s="36"/>
      <c r="O70" s="40">
        <f t="shared" si="14"/>
        <v>0</v>
      </c>
      <c r="P70" s="40"/>
      <c r="Q70" s="40"/>
      <c r="R70" s="40"/>
      <c r="S70" s="40">
        <f>+O70*100%</f>
        <v>0</v>
      </c>
      <c r="T70" s="40"/>
    </row>
    <row r="71" spans="1:20" s="15" customFormat="1" ht="12">
      <c r="A71" s="163"/>
      <c r="B71" s="35"/>
      <c r="C71" s="25"/>
      <c r="D71" s="40"/>
      <c r="E71" s="36"/>
      <c r="F71" s="90">
        <v>0</v>
      </c>
      <c r="G71" s="40">
        <f t="shared" si="9"/>
        <v>0</v>
      </c>
      <c r="H71" s="40"/>
      <c r="I71" s="40">
        <f>+G71*100%</f>
        <v>0</v>
      </c>
      <c r="J71" s="40"/>
      <c r="K71" s="40"/>
      <c r="L71" s="40"/>
      <c r="M71" s="19"/>
      <c r="N71" s="36"/>
      <c r="O71" s="40">
        <f t="shared" si="14"/>
        <v>0</v>
      </c>
      <c r="P71" s="40"/>
      <c r="Q71" s="40">
        <f>+O71*100%</f>
        <v>0</v>
      </c>
      <c r="R71" s="40"/>
      <c r="S71" s="40"/>
      <c r="T71" s="40"/>
    </row>
    <row r="72" spans="1:20" s="15" customFormat="1" ht="12">
      <c r="A72" s="163"/>
      <c r="B72" s="35"/>
      <c r="C72" s="25"/>
      <c r="D72" s="40"/>
      <c r="E72" s="36"/>
      <c r="F72" s="90">
        <v>0</v>
      </c>
      <c r="G72" s="40">
        <f t="shared" si="9"/>
        <v>0</v>
      </c>
      <c r="H72" s="40"/>
      <c r="I72" s="40">
        <f>+G72*100%</f>
        <v>0</v>
      </c>
      <c r="J72" s="40"/>
      <c r="K72" s="40"/>
      <c r="L72" s="40"/>
      <c r="M72" s="19"/>
      <c r="N72" s="36"/>
      <c r="O72" s="40">
        <f t="shared" si="14"/>
        <v>0</v>
      </c>
      <c r="P72" s="40"/>
      <c r="Q72" s="40">
        <f>+O72*100%</f>
        <v>0</v>
      </c>
      <c r="R72" s="40"/>
      <c r="S72" s="40"/>
      <c r="T72" s="40"/>
    </row>
    <row r="73" spans="1:20" s="15" customFormat="1" ht="12">
      <c r="A73" s="163"/>
      <c r="B73" s="35"/>
      <c r="C73" s="25"/>
      <c r="D73" s="40"/>
      <c r="E73" s="36"/>
      <c r="F73" s="90">
        <v>0</v>
      </c>
      <c r="G73" s="40">
        <f t="shared" si="9"/>
        <v>0</v>
      </c>
      <c r="H73" s="40"/>
      <c r="I73" s="40">
        <f>+G73*61%</f>
        <v>0</v>
      </c>
      <c r="J73" s="40">
        <f>+G73*17%</f>
        <v>0</v>
      </c>
      <c r="K73" s="40">
        <f>+G73*22%</f>
        <v>0</v>
      </c>
      <c r="L73" s="40"/>
      <c r="M73" s="19"/>
      <c r="N73" s="36"/>
      <c r="O73" s="40">
        <f t="shared" si="14"/>
        <v>0</v>
      </c>
      <c r="P73" s="40"/>
      <c r="Q73" s="40">
        <f>+O73*61%</f>
        <v>0</v>
      </c>
      <c r="R73" s="40">
        <f>+O73*17%</f>
        <v>0</v>
      </c>
      <c r="S73" s="40">
        <f>+O73*22%</f>
        <v>0</v>
      </c>
      <c r="T73" s="40"/>
    </row>
    <row r="74" spans="1:20" s="15" customFormat="1" ht="12">
      <c r="A74" s="163"/>
      <c r="B74" s="35"/>
      <c r="C74" s="25"/>
      <c r="D74" s="40"/>
      <c r="E74" s="36"/>
      <c r="F74" s="90">
        <v>0</v>
      </c>
      <c r="G74" s="40">
        <f t="shared" si="9"/>
        <v>0</v>
      </c>
      <c r="H74" s="40">
        <f>+G74*100%</f>
        <v>0</v>
      </c>
      <c r="I74" s="40"/>
      <c r="J74" s="40"/>
      <c r="K74" s="40"/>
      <c r="L74" s="40"/>
      <c r="M74" s="19"/>
      <c r="N74" s="36"/>
      <c r="O74" s="40">
        <f t="shared" si="14"/>
        <v>0</v>
      </c>
      <c r="P74" s="40">
        <f>+O74*100%</f>
        <v>0</v>
      </c>
      <c r="Q74" s="40"/>
      <c r="R74" s="40"/>
      <c r="S74" s="40"/>
      <c r="T74" s="40"/>
    </row>
    <row r="75" spans="1:20" s="15" customFormat="1" ht="12">
      <c r="A75" s="163"/>
      <c r="B75" s="35"/>
      <c r="C75" s="25"/>
      <c r="D75" s="40"/>
      <c r="E75" s="36"/>
      <c r="F75" s="90">
        <v>0</v>
      </c>
      <c r="G75" s="40">
        <f t="shared" si="9"/>
        <v>0</v>
      </c>
      <c r="H75" s="40">
        <f>+G75*100%</f>
        <v>0</v>
      </c>
      <c r="I75" s="40"/>
      <c r="J75" s="40"/>
      <c r="K75" s="40"/>
      <c r="L75" s="40"/>
      <c r="M75" s="19"/>
      <c r="N75" s="36"/>
      <c r="O75" s="40">
        <f t="shared" si="14"/>
        <v>0</v>
      </c>
      <c r="P75" s="40">
        <f>+O75*100%</f>
        <v>0</v>
      </c>
      <c r="Q75" s="40"/>
      <c r="R75" s="40"/>
      <c r="S75" s="40"/>
      <c r="T75" s="40"/>
    </row>
    <row r="76" spans="1:20" s="15" customFormat="1" ht="12">
      <c r="A76" s="163"/>
      <c r="B76" s="35"/>
      <c r="C76" s="25"/>
      <c r="D76" s="40"/>
      <c r="E76" s="36"/>
      <c r="F76" s="90">
        <v>0</v>
      </c>
      <c r="G76" s="40">
        <f t="shared" si="9"/>
        <v>0</v>
      </c>
      <c r="H76" s="40"/>
      <c r="I76" s="40"/>
      <c r="J76" s="40"/>
      <c r="K76" s="40">
        <f>+G76*100%</f>
        <v>0</v>
      </c>
      <c r="L76" s="40"/>
      <c r="M76" s="19"/>
      <c r="N76" s="36"/>
      <c r="O76" s="40">
        <f t="shared" si="14"/>
        <v>0</v>
      </c>
      <c r="P76" s="40"/>
      <c r="Q76" s="40"/>
      <c r="R76" s="40"/>
      <c r="S76" s="40">
        <f>+O76*100%</f>
        <v>0</v>
      </c>
      <c r="T76" s="40"/>
    </row>
    <row r="77" spans="1:20" s="15" customFormat="1" ht="12">
      <c r="A77" s="163"/>
      <c r="B77" s="35"/>
      <c r="C77" s="25"/>
      <c r="D77" s="40"/>
      <c r="E77" s="36"/>
      <c r="F77" s="90">
        <v>0</v>
      </c>
      <c r="G77" s="40">
        <f t="shared" si="9"/>
        <v>0</v>
      </c>
      <c r="H77" s="40"/>
      <c r="I77" s="40">
        <f>+G77*78%</f>
        <v>0</v>
      </c>
      <c r="J77" s="40">
        <f>+G77*22%</f>
        <v>0</v>
      </c>
      <c r="K77" s="40"/>
      <c r="L77" s="40"/>
      <c r="M77" s="19"/>
      <c r="N77" s="36"/>
      <c r="O77" s="40">
        <f t="shared" si="14"/>
        <v>0</v>
      </c>
      <c r="P77" s="40"/>
      <c r="Q77" s="40">
        <f>+O77*78%</f>
        <v>0</v>
      </c>
      <c r="R77" s="40">
        <f>+O77*22%</f>
        <v>0</v>
      </c>
      <c r="S77" s="40"/>
      <c r="T77" s="40"/>
    </row>
    <row r="78" spans="1:20" s="15" customFormat="1" ht="12">
      <c r="A78" s="163"/>
      <c r="B78" s="35"/>
      <c r="C78" s="25"/>
      <c r="D78" s="40"/>
      <c r="E78" s="36"/>
      <c r="F78" s="90">
        <v>0</v>
      </c>
      <c r="G78" s="40">
        <f t="shared" si="9"/>
        <v>0</v>
      </c>
      <c r="H78" s="40"/>
      <c r="I78" s="40">
        <f>+G78*78%</f>
        <v>0</v>
      </c>
      <c r="J78" s="40">
        <f>+G78*22%</f>
        <v>0</v>
      </c>
      <c r="K78" s="40"/>
      <c r="L78" s="40"/>
      <c r="M78" s="19"/>
      <c r="N78" s="36"/>
      <c r="O78" s="40">
        <f t="shared" si="14"/>
        <v>0</v>
      </c>
      <c r="P78" s="40"/>
      <c r="Q78" s="40">
        <f>+O78*78%</f>
        <v>0</v>
      </c>
      <c r="R78" s="40">
        <f>+O78*22%</f>
        <v>0</v>
      </c>
      <c r="S78" s="40"/>
      <c r="T78" s="40"/>
    </row>
    <row r="79" spans="1:20" s="15" customFormat="1" ht="12">
      <c r="A79" s="163"/>
      <c r="B79" s="35"/>
      <c r="C79" s="25"/>
      <c r="D79" s="40"/>
      <c r="E79" s="36"/>
      <c r="F79" s="90">
        <v>0</v>
      </c>
      <c r="G79" s="40">
        <f t="shared" ref="G79:G109" si="15">IF(F79&lt;+D79*E79,F79,+D79*E79)</f>
        <v>0</v>
      </c>
      <c r="H79" s="40">
        <f>+G79*100%</f>
        <v>0</v>
      </c>
      <c r="I79" s="40"/>
      <c r="J79" s="40"/>
      <c r="K79" s="40"/>
      <c r="L79" s="40"/>
      <c r="M79" s="19"/>
      <c r="N79" s="36"/>
      <c r="O79" s="40">
        <f t="shared" si="14"/>
        <v>0</v>
      </c>
      <c r="P79" s="40">
        <f>+O79*100%</f>
        <v>0</v>
      </c>
      <c r="Q79" s="40"/>
      <c r="R79" s="40"/>
      <c r="S79" s="40"/>
      <c r="T79" s="40"/>
    </row>
    <row r="80" spans="1:20" s="15" customFormat="1" ht="12">
      <c r="A80" s="163"/>
      <c r="B80" s="35"/>
      <c r="C80" s="25"/>
      <c r="D80" s="40"/>
      <c r="E80" s="36"/>
      <c r="F80" s="90">
        <v>0</v>
      </c>
      <c r="G80" s="40">
        <f t="shared" si="15"/>
        <v>0</v>
      </c>
      <c r="H80" s="40"/>
      <c r="I80" s="40">
        <f>+G80*78%</f>
        <v>0</v>
      </c>
      <c r="J80" s="40">
        <f>+G80*22%</f>
        <v>0</v>
      </c>
      <c r="K80" s="40"/>
      <c r="L80" s="40"/>
      <c r="M80" s="19"/>
      <c r="N80" s="36"/>
      <c r="O80" s="40">
        <f t="shared" si="14"/>
        <v>0</v>
      </c>
      <c r="P80" s="40"/>
      <c r="Q80" s="40">
        <f>+O80*78%</f>
        <v>0</v>
      </c>
      <c r="R80" s="40">
        <f>+O80*22%</f>
        <v>0</v>
      </c>
      <c r="S80" s="40"/>
      <c r="T80" s="40"/>
    </row>
    <row r="81" spans="1:20" s="15" customFormat="1" ht="12">
      <c r="A81" s="163"/>
      <c r="B81" s="35"/>
      <c r="C81" s="25"/>
      <c r="D81" s="40"/>
      <c r="E81" s="36"/>
      <c r="F81" s="90">
        <v>0</v>
      </c>
      <c r="G81" s="40">
        <f t="shared" si="15"/>
        <v>0</v>
      </c>
      <c r="H81" s="40"/>
      <c r="I81" s="40">
        <f>+G81*78%</f>
        <v>0</v>
      </c>
      <c r="J81" s="40">
        <f>+G81*22%</f>
        <v>0</v>
      </c>
      <c r="K81" s="40"/>
      <c r="L81" s="40"/>
      <c r="M81" s="19"/>
      <c r="N81" s="36"/>
      <c r="O81" s="40">
        <f t="shared" si="14"/>
        <v>0</v>
      </c>
      <c r="P81" s="40"/>
      <c r="Q81" s="40">
        <f>+O81*78%</f>
        <v>0</v>
      </c>
      <c r="R81" s="40">
        <f>+O81*22%</f>
        <v>0</v>
      </c>
      <c r="S81" s="40"/>
      <c r="T81" s="40"/>
    </row>
    <row r="82" spans="1:20" s="15" customFormat="1" ht="12">
      <c r="A82" s="163"/>
      <c r="B82" s="35"/>
      <c r="C82" s="25"/>
      <c r="D82" s="40"/>
      <c r="E82" s="36"/>
      <c r="F82" s="90">
        <v>0</v>
      </c>
      <c r="G82" s="40">
        <f t="shared" si="15"/>
        <v>0</v>
      </c>
      <c r="H82" s="40"/>
      <c r="I82" s="40">
        <f>+G82*78%</f>
        <v>0</v>
      </c>
      <c r="J82" s="40">
        <f>+G82*22%</f>
        <v>0</v>
      </c>
      <c r="K82" s="40"/>
      <c r="L82" s="40"/>
      <c r="M82" s="19"/>
      <c r="N82" s="36"/>
      <c r="O82" s="40">
        <f t="shared" si="14"/>
        <v>0</v>
      </c>
      <c r="P82" s="40"/>
      <c r="Q82" s="40">
        <f>+O82*78%</f>
        <v>0</v>
      </c>
      <c r="R82" s="40">
        <f>+O82*22%</f>
        <v>0</v>
      </c>
      <c r="S82" s="40"/>
      <c r="T82" s="40"/>
    </row>
    <row r="83" spans="1:20" s="15" customFormat="1" ht="12">
      <c r="A83" s="163"/>
      <c r="B83" s="35"/>
      <c r="C83" s="25"/>
      <c r="D83" s="40"/>
      <c r="E83" s="36"/>
      <c r="F83" s="90">
        <v>0</v>
      </c>
      <c r="G83" s="40">
        <f t="shared" si="15"/>
        <v>0</v>
      </c>
      <c r="H83" s="40">
        <f t="shared" ref="H83:H88" si="16">+G83*100%</f>
        <v>0</v>
      </c>
      <c r="I83" s="40"/>
      <c r="J83" s="40"/>
      <c r="K83" s="40"/>
      <c r="L83" s="40"/>
      <c r="M83" s="19"/>
      <c r="N83" s="36"/>
      <c r="O83" s="40">
        <f t="shared" si="14"/>
        <v>0</v>
      </c>
      <c r="P83" s="40">
        <f t="shared" ref="P83:P88" si="17">+O83*100%</f>
        <v>0</v>
      </c>
      <c r="Q83" s="40"/>
      <c r="R83" s="40"/>
      <c r="S83" s="40"/>
      <c r="T83" s="40"/>
    </row>
    <row r="84" spans="1:20" s="15" customFormat="1" ht="12">
      <c r="A84" s="163"/>
      <c r="B84" s="35"/>
      <c r="C84" s="25"/>
      <c r="D84" s="40"/>
      <c r="E84" s="36"/>
      <c r="F84" s="90">
        <v>0</v>
      </c>
      <c r="G84" s="40">
        <f t="shared" si="15"/>
        <v>0</v>
      </c>
      <c r="H84" s="40">
        <f t="shared" si="16"/>
        <v>0</v>
      </c>
      <c r="I84" s="40"/>
      <c r="J84" s="40"/>
      <c r="K84" s="40"/>
      <c r="L84" s="40"/>
      <c r="M84" s="19"/>
      <c r="N84" s="36"/>
      <c r="O84" s="40">
        <f t="shared" si="14"/>
        <v>0</v>
      </c>
      <c r="P84" s="40">
        <f t="shared" si="17"/>
        <v>0</v>
      </c>
      <c r="Q84" s="40"/>
      <c r="R84" s="40"/>
      <c r="S84" s="40"/>
      <c r="T84" s="40"/>
    </row>
    <row r="85" spans="1:20" s="15" customFormat="1" ht="12">
      <c r="A85" s="163"/>
      <c r="B85" s="35"/>
      <c r="C85" s="25"/>
      <c r="D85" s="40"/>
      <c r="E85" s="36"/>
      <c r="F85" s="90">
        <v>0</v>
      </c>
      <c r="G85" s="40">
        <f t="shared" si="15"/>
        <v>0</v>
      </c>
      <c r="H85" s="40">
        <f t="shared" si="16"/>
        <v>0</v>
      </c>
      <c r="I85" s="40"/>
      <c r="J85" s="40"/>
      <c r="K85" s="40"/>
      <c r="L85" s="40"/>
      <c r="M85" s="19"/>
      <c r="N85" s="36"/>
      <c r="O85" s="40">
        <f t="shared" si="14"/>
        <v>0</v>
      </c>
      <c r="P85" s="40">
        <f t="shared" si="17"/>
        <v>0</v>
      </c>
      <c r="Q85" s="40"/>
      <c r="R85" s="40"/>
      <c r="S85" s="40"/>
      <c r="T85" s="40"/>
    </row>
    <row r="86" spans="1:20" s="15" customFormat="1" ht="12">
      <c r="A86" s="163"/>
      <c r="B86" s="35"/>
      <c r="C86" s="25"/>
      <c r="D86" s="40"/>
      <c r="E86" s="36"/>
      <c r="F86" s="90">
        <v>6.37</v>
      </c>
      <c r="G86" s="40">
        <f t="shared" si="15"/>
        <v>0</v>
      </c>
      <c r="H86" s="40">
        <f t="shared" si="16"/>
        <v>0</v>
      </c>
      <c r="I86" s="40"/>
      <c r="J86" s="40"/>
      <c r="K86" s="40"/>
      <c r="L86" s="40"/>
      <c r="M86" s="19"/>
      <c r="N86" s="36"/>
      <c r="O86" s="40">
        <f t="shared" si="14"/>
        <v>0</v>
      </c>
      <c r="P86" s="40">
        <f t="shared" si="17"/>
        <v>0</v>
      </c>
      <c r="Q86" s="40"/>
      <c r="R86" s="40"/>
      <c r="S86" s="40"/>
      <c r="T86" s="40"/>
    </row>
    <row r="87" spans="1:20" s="15" customFormat="1" ht="12">
      <c r="A87" s="163"/>
      <c r="B87" s="35"/>
      <c r="C87" s="25"/>
      <c r="D87" s="40"/>
      <c r="E87" s="36"/>
      <c r="F87" s="90">
        <v>0</v>
      </c>
      <c r="G87" s="40">
        <f t="shared" si="15"/>
        <v>0</v>
      </c>
      <c r="H87" s="40">
        <f t="shared" si="16"/>
        <v>0</v>
      </c>
      <c r="I87" s="40"/>
      <c r="J87" s="40"/>
      <c r="K87" s="40"/>
      <c r="L87" s="40"/>
      <c r="M87" s="19"/>
      <c r="N87" s="36"/>
      <c r="O87" s="40">
        <f t="shared" si="14"/>
        <v>0</v>
      </c>
      <c r="P87" s="40">
        <f t="shared" si="17"/>
        <v>0</v>
      </c>
      <c r="Q87" s="40"/>
      <c r="R87" s="40"/>
      <c r="S87" s="40"/>
      <c r="T87" s="40"/>
    </row>
    <row r="88" spans="1:20" s="15" customFormat="1" ht="12">
      <c r="A88" s="163"/>
      <c r="B88" s="35"/>
      <c r="C88" s="25"/>
      <c r="D88" s="40"/>
      <c r="E88" s="36"/>
      <c r="F88" s="90">
        <v>0</v>
      </c>
      <c r="G88" s="40">
        <f t="shared" si="15"/>
        <v>0</v>
      </c>
      <c r="H88" s="40">
        <f t="shared" si="16"/>
        <v>0</v>
      </c>
      <c r="I88" s="40"/>
      <c r="J88" s="40"/>
      <c r="K88" s="40"/>
      <c r="L88" s="40"/>
      <c r="M88" s="19"/>
      <c r="N88" s="36"/>
      <c r="O88" s="40">
        <f t="shared" si="14"/>
        <v>0</v>
      </c>
      <c r="P88" s="40">
        <f t="shared" si="17"/>
        <v>0</v>
      </c>
      <c r="Q88" s="40"/>
      <c r="R88" s="40"/>
      <c r="S88" s="40"/>
      <c r="T88" s="40"/>
    </row>
    <row r="89" spans="1:20" s="15" customFormat="1" ht="12">
      <c r="A89" s="163"/>
      <c r="B89" s="35"/>
      <c r="C89" s="25"/>
      <c r="D89" s="40"/>
      <c r="E89" s="36"/>
      <c r="F89" s="90">
        <v>0</v>
      </c>
      <c r="G89" s="40">
        <f t="shared" si="15"/>
        <v>0</v>
      </c>
      <c r="H89" s="40"/>
      <c r="I89" s="40">
        <f>+G89*78%</f>
        <v>0</v>
      </c>
      <c r="J89" s="40">
        <f>+G89*22%</f>
        <v>0</v>
      </c>
      <c r="K89" s="40"/>
      <c r="L89" s="40"/>
      <c r="M89" s="19"/>
      <c r="N89" s="36"/>
      <c r="O89" s="40">
        <f t="shared" si="14"/>
        <v>0</v>
      </c>
      <c r="P89" s="40"/>
      <c r="Q89" s="40">
        <f>+O89*78%</f>
        <v>0</v>
      </c>
      <c r="R89" s="40">
        <f>+O89*22%</f>
        <v>0</v>
      </c>
      <c r="S89" s="40"/>
      <c r="T89" s="40"/>
    </row>
    <row r="90" spans="1:20" s="15" customFormat="1" ht="12">
      <c r="A90" s="163"/>
      <c r="B90" s="35"/>
      <c r="C90" s="25"/>
      <c r="D90" s="40"/>
      <c r="E90" s="36"/>
      <c r="F90" s="90">
        <v>0</v>
      </c>
      <c r="G90" s="40">
        <f t="shared" si="15"/>
        <v>0</v>
      </c>
      <c r="H90" s="40"/>
      <c r="I90" s="40">
        <f>+G90*78%</f>
        <v>0</v>
      </c>
      <c r="J90" s="40">
        <f>+G90*22%</f>
        <v>0</v>
      </c>
      <c r="K90" s="40"/>
      <c r="L90" s="40"/>
      <c r="M90" s="19"/>
      <c r="N90" s="36"/>
      <c r="O90" s="40">
        <f t="shared" si="14"/>
        <v>0</v>
      </c>
      <c r="P90" s="40"/>
      <c r="Q90" s="40">
        <f>+O90*78%</f>
        <v>0</v>
      </c>
      <c r="R90" s="40">
        <f>+O90*22%</f>
        <v>0</v>
      </c>
      <c r="S90" s="40"/>
      <c r="T90" s="40"/>
    </row>
    <row r="91" spans="1:20" s="15" customFormat="1" ht="12">
      <c r="A91" s="163"/>
      <c r="B91" s="35"/>
      <c r="C91" s="25"/>
      <c r="D91" s="40"/>
      <c r="E91" s="36"/>
      <c r="F91" s="90">
        <v>0</v>
      </c>
      <c r="G91" s="40">
        <f t="shared" si="15"/>
        <v>0</v>
      </c>
      <c r="H91" s="40"/>
      <c r="I91" s="40">
        <f>+G91*78%</f>
        <v>0</v>
      </c>
      <c r="J91" s="40">
        <f>+G91*22%</f>
        <v>0</v>
      </c>
      <c r="K91" s="40"/>
      <c r="L91" s="40"/>
      <c r="M91" s="19"/>
      <c r="N91" s="36"/>
      <c r="O91" s="40">
        <f t="shared" si="14"/>
        <v>0</v>
      </c>
      <c r="P91" s="40"/>
      <c r="Q91" s="40">
        <f>+O91*78%</f>
        <v>0</v>
      </c>
      <c r="R91" s="40">
        <f>+O91*22%</f>
        <v>0</v>
      </c>
      <c r="S91" s="40"/>
      <c r="T91" s="40"/>
    </row>
    <row r="92" spans="1:20" s="15" customFormat="1" ht="12">
      <c r="A92" s="163"/>
      <c r="B92" s="35"/>
      <c r="C92" s="25"/>
      <c r="D92" s="40"/>
      <c r="E92" s="36"/>
      <c r="F92" s="90">
        <v>0</v>
      </c>
      <c r="G92" s="40">
        <f t="shared" si="15"/>
        <v>0</v>
      </c>
      <c r="H92" s="40"/>
      <c r="I92" s="40">
        <f>+G92*78%</f>
        <v>0</v>
      </c>
      <c r="J92" s="40">
        <f>+G92*22%</f>
        <v>0</v>
      </c>
      <c r="K92" s="40"/>
      <c r="L92" s="40"/>
      <c r="M92" s="19"/>
      <c r="N92" s="36"/>
      <c r="O92" s="40">
        <f t="shared" ref="O92:O109" si="18">+N92*G92</f>
        <v>0</v>
      </c>
      <c r="P92" s="40"/>
      <c r="Q92" s="40">
        <f>+O92*78%</f>
        <v>0</v>
      </c>
      <c r="R92" s="40">
        <f>+O92*22%</f>
        <v>0</v>
      </c>
      <c r="S92" s="40"/>
      <c r="T92" s="40"/>
    </row>
    <row r="93" spans="1:20" s="15" customFormat="1" ht="12">
      <c r="A93" s="163"/>
      <c r="B93" s="35"/>
      <c r="C93" s="25"/>
      <c r="D93" s="40"/>
      <c r="E93" s="36"/>
      <c r="F93" s="90">
        <v>0</v>
      </c>
      <c r="G93" s="40">
        <f t="shared" si="15"/>
        <v>0</v>
      </c>
      <c r="H93" s="40"/>
      <c r="I93" s="40">
        <f>+G93*100%</f>
        <v>0</v>
      </c>
      <c r="J93" s="40"/>
      <c r="K93" s="40"/>
      <c r="L93" s="40"/>
      <c r="M93" s="19"/>
      <c r="N93" s="36"/>
      <c r="O93" s="40">
        <f t="shared" si="18"/>
        <v>0</v>
      </c>
      <c r="P93" s="40"/>
      <c r="Q93" s="40">
        <f>+O93*100%</f>
        <v>0</v>
      </c>
      <c r="R93" s="40"/>
      <c r="S93" s="40"/>
      <c r="T93" s="40"/>
    </row>
    <row r="94" spans="1:20" s="15" customFormat="1" ht="12">
      <c r="A94" s="163"/>
      <c r="B94" s="35"/>
      <c r="C94" s="25"/>
      <c r="D94" s="40"/>
      <c r="E94" s="36"/>
      <c r="F94" s="90">
        <v>236.79</v>
      </c>
      <c r="G94" s="40">
        <f t="shared" si="15"/>
        <v>0</v>
      </c>
      <c r="H94" s="40"/>
      <c r="I94" s="40">
        <f>+G94*78%</f>
        <v>0</v>
      </c>
      <c r="J94" s="40">
        <f>+G94*22%</f>
        <v>0</v>
      </c>
      <c r="K94" s="40"/>
      <c r="L94" s="40"/>
      <c r="M94" s="19"/>
      <c r="N94" s="36"/>
      <c r="O94" s="40">
        <f t="shared" si="18"/>
        <v>0</v>
      </c>
      <c r="P94" s="40"/>
      <c r="Q94" s="40">
        <f>+O94*78%</f>
        <v>0</v>
      </c>
      <c r="R94" s="40">
        <f>+O94*22%</f>
        <v>0</v>
      </c>
      <c r="S94" s="40"/>
      <c r="T94" s="40"/>
    </row>
    <row r="95" spans="1:20" s="15" customFormat="1" ht="12">
      <c r="A95" s="163"/>
      <c r="B95" s="35"/>
      <c r="C95" s="25"/>
      <c r="D95" s="40"/>
      <c r="E95" s="36"/>
      <c r="F95" s="90">
        <v>22.21</v>
      </c>
      <c r="G95" s="40">
        <f t="shared" si="15"/>
        <v>0</v>
      </c>
      <c r="H95" s="40"/>
      <c r="I95" s="40"/>
      <c r="J95" s="40"/>
      <c r="K95" s="40">
        <f>+G95*100%</f>
        <v>0</v>
      </c>
      <c r="L95" s="40"/>
      <c r="M95" s="19"/>
      <c r="N95" s="36"/>
      <c r="O95" s="40">
        <f t="shared" si="18"/>
        <v>0</v>
      </c>
      <c r="P95" s="40"/>
      <c r="Q95" s="40"/>
      <c r="R95" s="40"/>
      <c r="S95" s="40">
        <f>+O95*100%</f>
        <v>0</v>
      </c>
      <c r="T95" s="40"/>
    </row>
    <row r="96" spans="1:20" s="15" customFormat="1" ht="12">
      <c r="A96" s="163"/>
      <c r="B96" s="35"/>
      <c r="C96" s="25"/>
      <c r="D96" s="40"/>
      <c r="E96" s="36"/>
      <c r="F96" s="90">
        <v>47.76</v>
      </c>
      <c r="G96" s="40">
        <f t="shared" si="15"/>
        <v>0</v>
      </c>
      <c r="H96" s="40"/>
      <c r="I96" s="40">
        <f>+G96*78%</f>
        <v>0</v>
      </c>
      <c r="J96" s="40">
        <f>+G96*22%</f>
        <v>0</v>
      </c>
      <c r="K96" s="40"/>
      <c r="L96" s="40"/>
      <c r="M96" s="19"/>
      <c r="N96" s="36"/>
      <c r="O96" s="40">
        <f t="shared" si="18"/>
        <v>0</v>
      </c>
      <c r="P96" s="40"/>
      <c r="Q96" s="40">
        <f>+O96*78%</f>
        <v>0</v>
      </c>
      <c r="R96" s="40">
        <f>+O96*22%</f>
        <v>0</v>
      </c>
      <c r="S96" s="40"/>
      <c r="T96" s="40"/>
    </row>
    <row r="97" spans="1:20" s="15" customFormat="1" ht="12">
      <c r="A97" s="163"/>
      <c r="B97" s="35"/>
      <c r="C97" s="25"/>
      <c r="D97" s="40"/>
      <c r="E97" s="36"/>
      <c r="F97" s="90">
        <v>18.809999999999999</v>
      </c>
      <c r="G97" s="40">
        <f t="shared" si="15"/>
        <v>0</v>
      </c>
      <c r="H97" s="40">
        <f>+G97*100%</f>
        <v>0</v>
      </c>
      <c r="I97" s="40"/>
      <c r="J97" s="40"/>
      <c r="K97" s="40"/>
      <c r="L97" s="40"/>
      <c r="M97" s="19"/>
      <c r="N97" s="36"/>
      <c r="O97" s="40">
        <f t="shared" si="18"/>
        <v>0</v>
      </c>
      <c r="P97" s="40">
        <f>+O97*100%</f>
        <v>0</v>
      </c>
      <c r="Q97" s="40"/>
      <c r="R97" s="40"/>
      <c r="S97" s="40"/>
      <c r="T97" s="40"/>
    </row>
    <row r="98" spans="1:20" s="15" customFormat="1" ht="12">
      <c r="A98" s="163"/>
      <c r="B98" s="35"/>
      <c r="C98" s="25"/>
      <c r="D98" s="40"/>
      <c r="E98" s="36"/>
      <c r="F98" s="90">
        <v>0</v>
      </c>
      <c r="G98" s="40">
        <f t="shared" si="15"/>
        <v>0</v>
      </c>
      <c r="H98" s="40">
        <f>+G98*25%</f>
        <v>0</v>
      </c>
      <c r="I98" s="40">
        <f>+G98*46%</f>
        <v>0</v>
      </c>
      <c r="J98" s="40">
        <f>+G98*13%</f>
        <v>0</v>
      </c>
      <c r="K98" s="40">
        <f>+G98*16%</f>
        <v>0</v>
      </c>
      <c r="L98" s="40"/>
      <c r="M98" s="19"/>
      <c r="N98" s="36"/>
      <c r="O98" s="40">
        <f t="shared" si="18"/>
        <v>0</v>
      </c>
      <c r="P98" s="40">
        <f>+O98*25%</f>
        <v>0</v>
      </c>
      <c r="Q98" s="40">
        <f>+O98*46%</f>
        <v>0</v>
      </c>
      <c r="R98" s="40">
        <f>+O98*13%</f>
        <v>0</v>
      </c>
      <c r="S98" s="40">
        <f>+O98*16%</f>
        <v>0</v>
      </c>
      <c r="T98" s="40"/>
    </row>
    <row r="99" spans="1:20" s="15" customFormat="1" ht="12">
      <c r="A99" s="163"/>
      <c r="B99" s="35"/>
      <c r="C99" s="25"/>
      <c r="D99" s="40"/>
      <c r="E99" s="36"/>
      <c r="F99" s="90">
        <v>0</v>
      </c>
      <c r="G99" s="40">
        <f t="shared" si="15"/>
        <v>0</v>
      </c>
      <c r="H99" s="40">
        <f>+G99*25%</f>
        <v>0</v>
      </c>
      <c r="I99" s="40">
        <f>+G99*46%</f>
        <v>0</v>
      </c>
      <c r="J99" s="40">
        <f>+G99*13%</f>
        <v>0</v>
      </c>
      <c r="K99" s="40">
        <f>+G99*16%</f>
        <v>0</v>
      </c>
      <c r="L99" s="40"/>
      <c r="M99" s="19"/>
      <c r="N99" s="36"/>
      <c r="O99" s="40">
        <f t="shared" si="18"/>
        <v>0</v>
      </c>
      <c r="P99" s="40">
        <f>+O99*25%</f>
        <v>0</v>
      </c>
      <c r="Q99" s="40">
        <f>+O99*46%</f>
        <v>0</v>
      </c>
      <c r="R99" s="40">
        <f>+O99*13%</f>
        <v>0</v>
      </c>
      <c r="S99" s="40">
        <f>+O99*16%</f>
        <v>0</v>
      </c>
      <c r="T99" s="40"/>
    </row>
    <row r="100" spans="1:20" s="15" customFormat="1" ht="12">
      <c r="A100" s="163"/>
      <c r="B100" s="35"/>
      <c r="C100" s="25"/>
      <c r="D100" s="40"/>
      <c r="E100" s="36"/>
      <c r="F100" s="90">
        <v>11.79</v>
      </c>
      <c r="G100" s="40">
        <f t="shared" si="15"/>
        <v>0</v>
      </c>
      <c r="H100" s="40"/>
      <c r="I100" s="40">
        <f>+G100*78%</f>
        <v>0</v>
      </c>
      <c r="J100" s="40">
        <f>+G100*22%</f>
        <v>0</v>
      </c>
      <c r="K100" s="40"/>
      <c r="L100" s="40"/>
      <c r="M100" s="19"/>
      <c r="N100" s="36"/>
      <c r="O100" s="40">
        <f t="shared" si="18"/>
        <v>0</v>
      </c>
      <c r="P100" s="40"/>
      <c r="Q100" s="40">
        <f>+O100*78%</f>
        <v>0</v>
      </c>
      <c r="R100" s="40">
        <f>+O100*22%</f>
        <v>0</v>
      </c>
      <c r="S100" s="40"/>
      <c r="T100" s="40"/>
    </row>
    <row r="101" spans="1:20" s="15" customFormat="1" ht="12">
      <c r="A101" s="163"/>
      <c r="B101" s="35"/>
      <c r="C101" s="25"/>
      <c r="D101" s="40"/>
      <c r="E101" s="36"/>
      <c r="F101" s="90">
        <v>96.9</v>
      </c>
      <c r="G101" s="40">
        <f t="shared" si="15"/>
        <v>0</v>
      </c>
      <c r="H101" s="40"/>
      <c r="I101" s="40">
        <f>+G101*78%</f>
        <v>0</v>
      </c>
      <c r="J101" s="40">
        <f>+G101*22%</f>
        <v>0</v>
      </c>
      <c r="K101" s="40"/>
      <c r="L101" s="40"/>
      <c r="M101" s="19"/>
      <c r="N101" s="36"/>
      <c r="O101" s="40">
        <f t="shared" si="18"/>
        <v>0</v>
      </c>
      <c r="P101" s="40"/>
      <c r="Q101" s="40">
        <f>+O101*78%</f>
        <v>0</v>
      </c>
      <c r="R101" s="40">
        <f>+O101*22%</f>
        <v>0</v>
      </c>
      <c r="S101" s="40"/>
      <c r="T101" s="40"/>
    </row>
    <row r="102" spans="1:20" s="15" customFormat="1" ht="12">
      <c r="A102" s="163"/>
      <c r="B102" s="35"/>
      <c r="C102" s="25"/>
      <c r="D102" s="40"/>
      <c r="E102" s="36"/>
      <c r="F102" s="90">
        <v>518.27</v>
      </c>
      <c r="G102" s="40">
        <f t="shared" si="15"/>
        <v>0</v>
      </c>
      <c r="H102" s="40"/>
      <c r="I102" s="40"/>
      <c r="J102" s="40">
        <f>+G102*100%</f>
        <v>0</v>
      </c>
      <c r="K102" s="40"/>
      <c r="L102" s="40"/>
      <c r="M102" s="19"/>
      <c r="N102" s="36"/>
      <c r="O102" s="40">
        <f t="shared" si="18"/>
        <v>0</v>
      </c>
      <c r="P102" s="40"/>
      <c r="Q102" s="40"/>
      <c r="R102" s="40">
        <f>+O102*100%</f>
        <v>0</v>
      </c>
      <c r="S102" s="40"/>
      <c r="T102" s="40"/>
    </row>
    <row r="103" spans="1:20" s="15" customFormat="1" ht="12">
      <c r="A103" s="163"/>
      <c r="B103" s="35"/>
      <c r="C103" s="25"/>
      <c r="D103" s="40"/>
      <c r="E103" s="36"/>
      <c r="F103" s="90">
        <v>625.70000000000005</v>
      </c>
      <c r="G103" s="40">
        <f t="shared" si="15"/>
        <v>0</v>
      </c>
      <c r="H103" s="40"/>
      <c r="I103" s="40">
        <f>+G103*78%</f>
        <v>0</v>
      </c>
      <c r="J103" s="40">
        <f>+G103*22%</f>
        <v>0</v>
      </c>
      <c r="K103" s="40"/>
      <c r="L103" s="40"/>
      <c r="M103" s="19"/>
      <c r="N103" s="36"/>
      <c r="O103" s="40">
        <f t="shared" si="18"/>
        <v>0</v>
      </c>
      <c r="P103" s="40"/>
      <c r="Q103" s="40">
        <f>+O103*78%</f>
        <v>0</v>
      </c>
      <c r="R103" s="40">
        <f>+O103*22%</f>
        <v>0</v>
      </c>
      <c r="S103" s="40"/>
      <c r="T103" s="40"/>
    </row>
    <row r="104" spans="1:20" s="15" customFormat="1" ht="12">
      <c r="A104" s="163"/>
      <c r="B104" s="35"/>
      <c r="C104" s="25"/>
      <c r="D104" s="40"/>
      <c r="E104" s="36"/>
      <c r="F104" s="90">
        <v>109.48</v>
      </c>
      <c r="G104" s="40">
        <f t="shared" si="15"/>
        <v>0</v>
      </c>
      <c r="H104" s="40">
        <f>+G104*100%</f>
        <v>0</v>
      </c>
      <c r="I104" s="40"/>
      <c r="J104" s="40"/>
      <c r="K104" s="40"/>
      <c r="L104" s="40"/>
      <c r="M104" s="19"/>
      <c r="N104" s="36"/>
      <c r="O104" s="40">
        <f t="shared" si="18"/>
        <v>0</v>
      </c>
      <c r="P104" s="40">
        <f>+O104*100%</f>
        <v>0</v>
      </c>
      <c r="Q104" s="40"/>
      <c r="R104" s="40"/>
      <c r="S104" s="40"/>
      <c r="T104" s="40"/>
    </row>
    <row r="105" spans="1:20" s="15" customFormat="1" ht="12">
      <c r="A105" s="163"/>
      <c r="B105" s="35"/>
      <c r="C105" s="25"/>
      <c r="D105" s="40"/>
      <c r="E105" s="36"/>
      <c r="F105" s="90">
        <v>87.78</v>
      </c>
      <c r="G105" s="40">
        <f t="shared" si="15"/>
        <v>0</v>
      </c>
      <c r="H105" s="40"/>
      <c r="I105" s="40">
        <f t="shared" ref="I105:I120" si="19">+G105*78%</f>
        <v>0</v>
      </c>
      <c r="J105" s="40">
        <f t="shared" ref="J105:J120" si="20">+G105*22%</f>
        <v>0</v>
      </c>
      <c r="K105" s="40"/>
      <c r="L105" s="40"/>
      <c r="M105" s="19"/>
      <c r="N105" s="36"/>
      <c r="O105" s="40">
        <f t="shared" si="18"/>
        <v>0</v>
      </c>
      <c r="P105" s="40"/>
      <c r="Q105" s="40">
        <f t="shared" ref="Q105:Q120" si="21">+O105*78%</f>
        <v>0</v>
      </c>
      <c r="R105" s="40">
        <f t="shared" ref="R105:R120" si="22">+O105*22%</f>
        <v>0</v>
      </c>
      <c r="S105" s="40"/>
      <c r="T105" s="40"/>
    </row>
    <row r="106" spans="1:20" s="15" customFormat="1" ht="12">
      <c r="A106" s="163"/>
      <c r="B106" s="35"/>
      <c r="C106" s="25"/>
      <c r="D106" s="40"/>
      <c r="E106" s="36"/>
      <c r="F106" s="90">
        <v>513.24</v>
      </c>
      <c r="G106" s="40">
        <f t="shared" si="15"/>
        <v>0</v>
      </c>
      <c r="H106" s="40"/>
      <c r="I106" s="40">
        <f t="shared" si="19"/>
        <v>0</v>
      </c>
      <c r="J106" s="40">
        <f t="shared" si="20"/>
        <v>0</v>
      </c>
      <c r="K106" s="40"/>
      <c r="L106" s="40"/>
      <c r="M106" s="19"/>
      <c r="N106" s="36"/>
      <c r="O106" s="40">
        <f t="shared" si="18"/>
        <v>0</v>
      </c>
      <c r="P106" s="40"/>
      <c r="Q106" s="40">
        <f t="shared" si="21"/>
        <v>0</v>
      </c>
      <c r="R106" s="40">
        <f t="shared" si="22"/>
        <v>0</v>
      </c>
      <c r="S106" s="40"/>
      <c r="T106" s="40"/>
    </row>
    <row r="107" spans="1:20" s="15" customFormat="1" ht="12">
      <c r="A107" s="163"/>
      <c r="B107" s="35"/>
      <c r="C107" s="25"/>
      <c r="D107" s="40"/>
      <c r="E107" s="36"/>
      <c r="F107" s="90">
        <v>0</v>
      </c>
      <c r="G107" s="40">
        <f t="shared" si="15"/>
        <v>0</v>
      </c>
      <c r="H107" s="40"/>
      <c r="I107" s="40">
        <f t="shared" si="19"/>
        <v>0</v>
      </c>
      <c r="J107" s="40">
        <f t="shared" si="20"/>
        <v>0</v>
      </c>
      <c r="K107" s="40"/>
      <c r="L107" s="40"/>
      <c r="M107" s="19"/>
      <c r="N107" s="36"/>
      <c r="O107" s="40">
        <f t="shared" si="18"/>
        <v>0</v>
      </c>
      <c r="P107" s="40"/>
      <c r="Q107" s="40">
        <f t="shared" si="21"/>
        <v>0</v>
      </c>
      <c r="R107" s="40">
        <f t="shared" si="22"/>
        <v>0</v>
      </c>
      <c r="S107" s="40"/>
      <c r="T107" s="40"/>
    </row>
    <row r="108" spans="1:20" s="15" customFormat="1" ht="12">
      <c r="A108" s="163"/>
      <c r="B108" s="35"/>
      <c r="C108" s="25"/>
      <c r="D108" s="40"/>
      <c r="E108" s="36"/>
      <c r="F108" s="90">
        <v>0</v>
      </c>
      <c r="G108" s="40">
        <f t="shared" si="15"/>
        <v>0</v>
      </c>
      <c r="H108" s="40"/>
      <c r="I108" s="40">
        <f t="shared" si="19"/>
        <v>0</v>
      </c>
      <c r="J108" s="40">
        <f t="shared" si="20"/>
        <v>0</v>
      </c>
      <c r="K108" s="40"/>
      <c r="L108" s="40"/>
      <c r="M108" s="19"/>
      <c r="N108" s="36"/>
      <c r="O108" s="40">
        <f t="shared" si="18"/>
        <v>0</v>
      </c>
      <c r="P108" s="40"/>
      <c r="Q108" s="40">
        <f t="shared" si="21"/>
        <v>0</v>
      </c>
      <c r="R108" s="40">
        <f t="shared" si="22"/>
        <v>0</v>
      </c>
      <c r="S108" s="40"/>
      <c r="T108" s="40"/>
    </row>
    <row r="109" spans="1:20" s="15" customFormat="1" ht="12">
      <c r="A109" s="163"/>
      <c r="B109" s="35"/>
      <c r="C109" s="25"/>
      <c r="D109" s="40"/>
      <c r="E109" s="36"/>
      <c r="F109" s="90">
        <v>0</v>
      </c>
      <c r="G109" s="40">
        <f t="shared" si="15"/>
        <v>0</v>
      </c>
      <c r="H109" s="40"/>
      <c r="I109" s="40">
        <f t="shared" si="19"/>
        <v>0</v>
      </c>
      <c r="J109" s="40">
        <f t="shared" si="20"/>
        <v>0</v>
      </c>
      <c r="K109" s="40"/>
      <c r="L109" s="40"/>
      <c r="M109" s="19"/>
      <c r="N109" s="36"/>
      <c r="O109" s="40">
        <f t="shared" si="18"/>
        <v>0</v>
      </c>
      <c r="P109" s="40"/>
      <c r="Q109" s="40">
        <f t="shared" si="21"/>
        <v>0</v>
      </c>
      <c r="R109" s="40">
        <f t="shared" si="22"/>
        <v>0</v>
      </c>
      <c r="S109" s="40"/>
      <c r="T109" s="40"/>
    </row>
    <row r="110" spans="1:20" s="15" customFormat="1" ht="12">
      <c r="A110" s="163"/>
      <c r="B110" s="35"/>
      <c r="C110" s="25"/>
      <c r="D110" s="40"/>
      <c r="E110" s="36"/>
      <c r="F110" s="90">
        <v>0</v>
      </c>
      <c r="G110" s="40">
        <f t="shared" si="9"/>
        <v>0</v>
      </c>
      <c r="H110" s="40"/>
      <c r="I110" s="40">
        <f t="shared" si="19"/>
        <v>0</v>
      </c>
      <c r="J110" s="40">
        <f t="shared" si="20"/>
        <v>0</v>
      </c>
      <c r="K110" s="40"/>
      <c r="L110" s="40"/>
      <c r="M110" s="351"/>
      <c r="N110" s="36"/>
      <c r="O110" s="40">
        <f t="shared" ref="O110:O117" si="23">+N110*G110</f>
        <v>0</v>
      </c>
      <c r="P110" s="40"/>
      <c r="Q110" s="40">
        <f t="shared" si="21"/>
        <v>0</v>
      </c>
      <c r="R110" s="40">
        <f t="shared" si="22"/>
        <v>0</v>
      </c>
      <c r="S110" s="40"/>
      <c r="T110" s="40"/>
    </row>
    <row r="111" spans="1:20" s="15" customFormat="1" ht="12">
      <c r="A111" s="163"/>
      <c r="B111" s="35"/>
      <c r="C111" s="25"/>
      <c r="D111" s="40"/>
      <c r="E111" s="36"/>
      <c r="F111" s="90">
        <v>0</v>
      </c>
      <c r="G111" s="40">
        <f t="shared" si="9"/>
        <v>0</v>
      </c>
      <c r="H111" s="40"/>
      <c r="I111" s="40">
        <f t="shared" si="19"/>
        <v>0</v>
      </c>
      <c r="J111" s="40">
        <f t="shared" si="20"/>
        <v>0</v>
      </c>
      <c r="K111" s="40"/>
      <c r="L111" s="40"/>
      <c r="M111" s="351"/>
      <c r="N111" s="36"/>
      <c r="O111" s="40">
        <f t="shared" si="23"/>
        <v>0</v>
      </c>
      <c r="P111" s="40"/>
      <c r="Q111" s="40">
        <f t="shared" si="21"/>
        <v>0</v>
      </c>
      <c r="R111" s="40">
        <f t="shared" si="22"/>
        <v>0</v>
      </c>
      <c r="S111" s="40"/>
      <c r="T111" s="40"/>
    </row>
    <row r="112" spans="1:20" s="15" customFormat="1" ht="12">
      <c r="A112" s="163"/>
      <c r="B112" s="35"/>
      <c r="C112" s="25"/>
      <c r="D112" s="40"/>
      <c r="E112" s="36"/>
      <c r="F112" s="90">
        <v>0</v>
      </c>
      <c r="G112" s="40">
        <f t="shared" si="9"/>
        <v>0</v>
      </c>
      <c r="H112" s="40"/>
      <c r="I112" s="40">
        <f t="shared" si="19"/>
        <v>0</v>
      </c>
      <c r="J112" s="40">
        <f t="shared" si="20"/>
        <v>0</v>
      </c>
      <c r="K112" s="40"/>
      <c r="L112" s="40"/>
      <c r="M112" s="351"/>
      <c r="N112" s="36"/>
      <c r="O112" s="40">
        <f t="shared" si="23"/>
        <v>0</v>
      </c>
      <c r="P112" s="40"/>
      <c r="Q112" s="40">
        <f t="shared" si="21"/>
        <v>0</v>
      </c>
      <c r="R112" s="40">
        <f t="shared" si="22"/>
        <v>0</v>
      </c>
      <c r="S112" s="40"/>
      <c r="T112" s="40"/>
    </row>
    <row r="113" spans="1:20" s="15" customFormat="1" ht="12">
      <c r="A113" s="163"/>
      <c r="B113" s="35"/>
      <c r="C113" s="25"/>
      <c r="D113" s="40"/>
      <c r="E113" s="36"/>
      <c r="F113" s="90">
        <v>0</v>
      </c>
      <c r="G113" s="40">
        <f t="shared" si="9"/>
        <v>0</v>
      </c>
      <c r="H113" s="40"/>
      <c r="I113" s="40">
        <f t="shared" si="19"/>
        <v>0</v>
      </c>
      <c r="J113" s="40">
        <f t="shared" si="20"/>
        <v>0</v>
      </c>
      <c r="K113" s="40"/>
      <c r="L113" s="40"/>
      <c r="M113" s="351"/>
      <c r="N113" s="36"/>
      <c r="O113" s="40">
        <f t="shared" si="23"/>
        <v>0</v>
      </c>
      <c r="P113" s="40"/>
      <c r="Q113" s="40">
        <f t="shared" si="21"/>
        <v>0</v>
      </c>
      <c r="R113" s="40">
        <f t="shared" si="22"/>
        <v>0</v>
      </c>
      <c r="S113" s="40"/>
      <c r="T113" s="40"/>
    </row>
    <row r="114" spans="1:20" s="15" customFormat="1" ht="12">
      <c r="A114" s="163"/>
      <c r="B114" s="35"/>
      <c r="C114" s="25"/>
      <c r="D114" s="40"/>
      <c r="E114" s="36"/>
      <c r="F114" s="90">
        <v>0</v>
      </c>
      <c r="G114" s="40">
        <f t="shared" si="9"/>
        <v>0</v>
      </c>
      <c r="H114" s="40"/>
      <c r="I114" s="40">
        <f t="shared" si="19"/>
        <v>0</v>
      </c>
      <c r="J114" s="40">
        <f t="shared" si="20"/>
        <v>0</v>
      </c>
      <c r="K114" s="40"/>
      <c r="L114" s="40"/>
      <c r="M114" s="351"/>
      <c r="N114" s="36"/>
      <c r="O114" s="40">
        <f t="shared" si="23"/>
        <v>0</v>
      </c>
      <c r="P114" s="40"/>
      <c r="Q114" s="40">
        <f t="shared" si="21"/>
        <v>0</v>
      </c>
      <c r="R114" s="40">
        <f t="shared" si="22"/>
        <v>0</v>
      </c>
      <c r="S114" s="40"/>
      <c r="T114" s="40"/>
    </row>
    <row r="115" spans="1:20" s="15" customFormat="1" ht="12">
      <c r="A115" s="163"/>
      <c r="B115" s="35"/>
      <c r="C115" s="25"/>
      <c r="D115" s="40"/>
      <c r="E115" s="36"/>
      <c r="F115" s="90">
        <v>0</v>
      </c>
      <c r="G115" s="40">
        <f t="shared" si="9"/>
        <v>0</v>
      </c>
      <c r="H115" s="40"/>
      <c r="I115" s="40">
        <f t="shared" si="19"/>
        <v>0</v>
      </c>
      <c r="J115" s="40">
        <f t="shared" si="20"/>
        <v>0</v>
      </c>
      <c r="K115" s="40"/>
      <c r="L115" s="40"/>
      <c r="M115" s="351"/>
      <c r="N115" s="36"/>
      <c r="O115" s="40">
        <f t="shared" si="23"/>
        <v>0</v>
      </c>
      <c r="P115" s="40"/>
      <c r="Q115" s="40">
        <f t="shared" si="21"/>
        <v>0</v>
      </c>
      <c r="R115" s="40">
        <f t="shared" si="22"/>
        <v>0</v>
      </c>
      <c r="S115" s="40"/>
      <c r="T115" s="40"/>
    </row>
    <row r="116" spans="1:20" s="15" customFormat="1" ht="12">
      <c r="A116" s="163"/>
      <c r="B116" s="35"/>
      <c r="C116" s="25"/>
      <c r="D116" s="40"/>
      <c r="E116" s="36"/>
      <c r="F116" s="90">
        <v>0</v>
      </c>
      <c r="G116" s="40">
        <f t="shared" si="9"/>
        <v>0</v>
      </c>
      <c r="H116" s="40"/>
      <c r="I116" s="40">
        <f t="shared" si="19"/>
        <v>0</v>
      </c>
      <c r="J116" s="40">
        <f t="shared" si="20"/>
        <v>0</v>
      </c>
      <c r="K116" s="40"/>
      <c r="L116" s="40"/>
      <c r="M116" s="351"/>
      <c r="N116" s="36"/>
      <c r="O116" s="40">
        <f t="shared" si="23"/>
        <v>0</v>
      </c>
      <c r="P116" s="40"/>
      <c r="Q116" s="40">
        <f t="shared" si="21"/>
        <v>0</v>
      </c>
      <c r="R116" s="40">
        <f t="shared" si="22"/>
        <v>0</v>
      </c>
      <c r="S116" s="40"/>
      <c r="T116" s="40"/>
    </row>
    <row r="117" spans="1:20" s="15" customFormat="1" ht="12">
      <c r="A117" s="163"/>
      <c r="B117" s="35"/>
      <c r="C117" s="25"/>
      <c r="D117" s="40"/>
      <c r="E117" s="36"/>
      <c r="F117" s="90">
        <v>0</v>
      </c>
      <c r="G117" s="40">
        <f t="shared" si="9"/>
        <v>0</v>
      </c>
      <c r="H117" s="40"/>
      <c r="I117" s="40">
        <f t="shared" si="19"/>
        <v>0</v>
      </c>
      <c r="J117" s="40">
        <f t="shared" si="20"/>
        <v>0</v>
      </c>
      <c r="K117" s="40"/>
      <c r="L117" s="40"/>
      <c r="M117" s="351"/>
      <c r="N117" s="36"/>
      <c r="O117" s="40">
        <f t="shared" si="23"/>
        <v>0</v>
      </c>
      <c r="P117" s="40"/>
      <c r="Q117" s="40">
        <f t="shared" si="21"/>
        <v>0</v>
      </c>
      <c r="R117" s="40">
        <f t="shared" si="22"/>
        <v>0</v>
      </c>
      <c r="S117" s="40"/>
      <c r="T117" s="40"/>
    </row>
    <row r="118" spans="1:20" s="15" customFormat="1" ht="12">
      <c r="A118" s="163"/>
      <c r="B118" s="35"/>
      <c r="C118" s="25"/>
      <c r="D118" s="40"/>
      <c r="E118" s="36"/>
      <c r="F118" s="90">
        <v>0</v>
      </c>
      <c r="G118" s="40">
        <f t="shared" si="9"/>
        <v>0</v>
      </c>
      <c r="H118" s="40"/>
      <c r="I118" s="40">
        <f t="shared" si="19"/>
        <v>0</v>
      </c>
      <c r="J118" s="40">
        <f t="shared" si="20"/>
        <v>0</v>
      </c>
      <c r="K118" s="40"/>
      <c r="L118" s="40"/>
      <c r="M118" s="19"/>
      <c r="N118" s="36"/>
      <c r="O118" s="40">
        <f>+G118*N118</f>
        <v>0</v>
      </c>
      <c r="P118" s="40"/>
      <c r="Q118" s="40">
        <f t="shared" si="21"/>
        <v>0</v>
      </c>
      <c r="R118" s="40">
        <f t="shared" si="22"/>
        <v>0</v>
      </c>
      <c r="S118" s="40"/>
      <c r="T118" s="40"/>
    </row>
    <row r="119" spans="1:20" s="15" customFormat="1" ht="12">
      <c r="A119" s="163"/>
      <c r="B119" s="35"/>
      <c r="C119" s="25"/>
      <c r="D119" s="40"/>
      <c r="E119" s="36"/>
      <c r="F119" s="90">
        <v>0</v>
      </c>
      <c r="G119" s="40">
        <f t="shared" si="9"/>
        <v>0</v>
      </c>
      <c r="H119" s="40"/>
      <c r="I119" s="40">
        <f t="shared" si="19"/>
        <v>0</v>
      </c>
      <c r="J119" s="40">
        <f t="shared" si="20"/>
        <v>0</v>
      </c>
      <c r="K119" s="40"/>
      <c r="L119" s="40"/>
      <c r="M119" s="19"/>
      <c r="N119" s="36"/>
      <c r="O119" s="40">
        <f>+G119*N119</f>
        <v>0</v>
      </c>
      <c r="P119" s="40"/>
      <c r="Q119" s="40">
        <f t="shared" si="21"/>
        <v>0</v>
      </c>
      <c r="R119" s="40">
        <f t="shared" si="22"/>
        <v>0</v>
      </c>
      <c r="S119" s="40"/>
      <c r="T119" s="40"/>
    </row>
    <row r="120" spans="1:20" s="15" customFormat="1" ht="12">
      <c r="A120" s="163"/>
      <c r="B120" s="35"/>
      <c r="C120" s="25"/>
      <c r="D120" s="40"/>
      <c r="E120" s="36"/>
      <c r="F120" s="90"/>
      <c r="G120" s="40">
        <f t="shared" si="9"/>
        <v>0</v>
      </c>
      <c r="H120" s="40"/>
      <c r="I120" s="40">
        <f t="shared" si="19"/>
        <v>0</v>
      </c>
      <c r="J120" s="40">
        <f t="shared" si="20"/>
        <v>0</v>
      </c>
      <c r="K120" s="40"/>
      <c r="L120" s="40"/>
      <c r="M120" s="19"/>
      <c r="N120" s="36"/>
      <c r="O120" s="40">
        <f>+G120*N120</f>
        <v>0</v>
      </c>
      <c r="P120" s="40"/>
      <c r="Q120" s="40">
        <f t="shared" si="21"/>
        <v>0</v>
      </c>
      <c r="R120" s="40">
        <f t="shared" si="22"/>
        <v>0</v>
      </c>
      <c r="S120" s="40"/>
      <c r="T120" s="40"/>
    </row>
    <row r="121" spans="1:20" s="15" customFormat="1" ht="12">
      <c r="A121" s="163"/>
      <c r="B121" s="35"/>
      <c r="C121" s="25"/>
      <c r="D121" s="40"/>
      <c r="E121" s="36"/>
      <c r="F121" s="90">
        <v>226.66</v>
      </c>
      <c r="G121" s="40">
        <f t="shared" ref="G121:G184" si="24">IF(F121&lt;+D121*E121,F121,+D121*E121)</f>
        <v>0</v>
      </c>
      <c r="H121" s="40">
        <f>+G121*100%</f>
        <v>0</v>
      </c>
      <c r="I121" s="40"/>
      <c r="J121" s="40"/>
      <c r="K121" s="40"/>
      <c r="L121" s="40"/>
      <c r="M121" s="19"/>
      <c r="N121" s="36"/>
      <c r="O121" s="40">
        <f t="shared" ref="O121:O149" si="25">+G121*N121</f>
        <v>0</v>
      </c>
      <c r="P121" s="40">
        <f>+O121*100%</f>
        <v>0</v>
      </c>
      <c r="Q121" s="40"/>
      <c r="R121" s="40"/>
      <c r="S121" s="40"/>
      <c r="T121" s="40"/>
    </row>
    <row r="122" spans="1:20" s="15" customFormat="1" ht="12">
      <c r="A122" s="163"/>
      <c r="B122" s="35"/>
      <c r="C122" s="25"/>
      <c r="D122" s="40"/>
      <c r="E122" s="36"/>
      <c r="F122" s="90">
        <v>0</v>
      </c>
      <c r="G122" s="40">
        <f t="shared" si="24"/>
        <v>0</v>
      </c>
      <c r="H122" s="40"/>
      <c r="I122" s="40">
        <f>+G122*100%</f>
        <v>0</v>
      </c>
      <c r="J122" s="40"/>
      <c r="K122" s="40"/>
      <c r="L122" s="40"/>
      <c r="M122" s="19"/>
      <c r="N122" s="36"/>
      <c r="O122" s="40">
        <f t="shared" si="25"/>
        <v>0</v>
      </c>
      <c r="P122" s="40"/>
      <c r="Q122" s="40">
        <f>+O122*100%</f>
        <v>0</v>
      </c>
      <c r="R122" s="40"/>
      <c r="S122" s="40"/>
      <c r="T122" s="40"/>
    </row>
    <row r="123" spans="1:20" s="15" customFormat="1" ht="12">
      <c r="A123" s="163"/>
      <c r="B123" s="35"/>
      <c r="C123" s="25"/>
      <c r="D123" s="40"/>
      <c r="E123" s="36"/>
      <c r="F123" s="90">
        <v>0</v>
      </c>
      <c r="G123" s="40">
        <f t="shared" si="24"/>
        <v>0</v>
      </c>
      <c r="H123" s="40"/>
      <c r="I123" s="40">
        <f>+G123*100%</f>
        <v>0</v>
      </c>
      <c r="J123" s="40"/>
      <c r="K123" s="40"/>
      <c r="L123" s="40"/>
      <c r="M123" s="19"/>
      <c r="N123" s="36"/>
      <c r="O123" s="40">
        <f t="shared" si="25"/>
        <v>0</v>
      </c>
      <c r="P123" s="40"/>
      <c r="Q123" s="40">
        <f>+O123*100%</f>
        <v>0</v>
      </c>
      <c r="R123" s="40"/>
      <c r="S123" s="40"/>
      <c r="T123" s="40"/>
    </row>
    <row r="124" spans="1:20" s="15" customFormat="1" ht="12">
      <c r="A124" s="163"/>
      <c r="B124" s="35"/>
      <c r="C124" s="25"/>
      <c r="D124" s="40"/>
      <c r="E124" s="36"/>
      <c r="F124" s="90">
        <v>0</v>
      </c>
      <c r="G124" s="40">
        <f t="shared" si="24"/>
        <v>0</v>
      </c>
      <c r="H124" s="40"/>
      <c r="I124" s="40">
        <f>+G124*78%</f>
        <v>0</v>
      </c>
      <c r="J124" s="40">
        <f>+G124*22%</f>
        <v>0</v>
      </c>
      <c r="K124" s="40"/>
      <c r="L124" s="40"/>
      <c r="M124" s="19"/>
      <c r="N124" s="36"/>
      <c r="O124" s="40">
        <f t="shared" si="25"/>
        <v>0</v>
      </c>
      <c r="P124" s="40"/>
      <c r="Q124" s="40">
        <f>+O124*78%</f>
        <v>0</v>
      </c>
      <c r="R124" s="40">
        <f>+O124*22%</f>
        <v>0</v>
      </c>
      <c r="S124" s="40"/>
      <c r="T124" s="40"/>
    </row>
    <row r="125" spans="1:20" s="15" customFormat="1" ht="12">
      <c r="A125" s="163"/>
      <c r="B125" s="35"/>
      <c r="C125" s="25"/>
      <c r="D125" s="40"/>
      <c r="E125" s="36"/>
      <c r="F125" s="90">
        <v>0</v>
      </c>
      <c r="G125" s="40">
        <f t="shared" si="24"/>
        <v>0</v>
      </c>
      <c r="H125" s="40"/>
      <c r="I125" s="40"/>
      <c r="J125" s="40">
        <f>+G125*100%</f>
        <v>0</v>
      </c>
      <c r="K125" s="40"/>
      <c r="L125" s="40"/>
      <c r="M125" s="19"/>
      <c r="N125" s="36"/>
      <c r="O125" s="40">
        <f t="shared" si="25"/>
        <v>0</v>
      </c>
      <c r="P125" s="40"/>
      <c r="Q125" s="40"/>
      <c r="R125" s="40">
        <f>+O125*100%</f>
        <v>0</v>
      </c>
      <c r="S125" s="40"/>
      <c r="T125" s="40"/>
    </row>
    <row r="126" spans="1:20" s="15" customFormat="1" ht="12">
      <c r="A126" s="163"/>
      <c r="B126" s="35"/>
      <c r="C126" s="25"/>
      <c r="D126" s="40"/>
      <c r="E126" s="36"/>
      <c r="F126" s="90">
        <v>0</v>
      </c>
      <c r="G126" s="40">
        <f t="shared" si="24"/>
        <v>0</v>
      </c>
      <c r="H126" s="40">
        <f>+G126*100%</f>
        <v>0</v>
      </c>
      <c r="I126" s="40"/>
      <c r="J126" s="40"/>
      <c r="K126" s="40"/>
      <c r="L126" s="40"/>
      <c r="M126" s="19"/>
      <c r="N126" s="36"/>
      <c r="O126" s="40">
        <f t="shared" si="25"/>
        <v>0</v>
      </c>
      <c r="P126" s="40">
        <f>+O126*100%</f>
        <v>0</v>
      </c>
      <c r="Q126" s="40"/>
      <c r="R126" s="40"/>
      <c r="S126" s="40"/>
      <c r="T126" s="40"/>
    </row>
    <row r="127" spans="1:20" s="15" customFormat="1" ht="12">
      <c r="A127" s="163"/>
      <c r="B127" s="35"/>
      <c r="C127" s="25"/>
      <c r="D127" s="40"/>
      <c r="E127" s="36"/>
      <c r="F127" s="90">
        <v>0</v>
      </c>
      <c r="G127" s="40">
        <f t="shared" si="24"/>
        <v>0</v>
      </c>
      <c r="H127" s="40"/>
      <c r="I127" s="40">
        <f>+G127*100%</f>
        <v>0</v>
      </c>
      <c r="J127" s="40"/>
      <c r="K127" s="40"/>
      <c r="L127" s="40"/>
      <c r="M127" s="19"/>
      <c r="N127" s="36"/>
      <c r="O127" s="40">
        <f t="shared" si="25"/>
        <v>0</v>
      </c>
      <c r="P127" s="40"/>
      <c r="Q127" s="40">
        <f>+O127*100%</f>
        <v>0</v>
      </c>
      <c r="R127" s="40"/>
      <c r="S127" s="40"/>
      <c r="T127" s="40"/>
    </row>
    <row r="128" spans="1:20" s="15" customFormat="1" ht="12">
      <c r="A128" s="163"/>
      <c r="B128" s="35"/>
      <c r="C128" s="25"/>
      <c r="D128" s="40"/>
      <c r="E128" s="36"/>
      <c r="F128" s="90">
        <v>0</v>
      </c>
      <c r="G128" s="40">
        <f t="shared" si="24"/>
        <v>0</v>
      </c>
      <c r="H128" s="40"/>
      <c r="I128" s="40">
        <f>+G128*100%</f>
        <v>0</v>
      </c>
      <c r="J128" s="40"/>
      <c r="K128" s="40"/>
      <c r="L128" s="40"/>
      <c r="M128" s="19"/>
      <c r="N128" s="36"/>
      <c r="O128" s="40">
        <f t="shared" si="25"/>
        <v>0</v>
      </c>
      <c r="P128" s="40"/>
      <c r="Q128" s="40">
        <f>+O128*100%</f>
        <v>0</v>
      </c>
      <c r="R128" s="40"/>
      <c r="S128" s="40"/>
      <c r="T128" s="40"/>
    </row>
    <row r="129" spans="1:20" s="15" customFormat="1" ht="12">
      <c r="A129" s="163"/>
      <c r="B129" s="35"/>
      <c r="C129" s="25"/>
      <c r="D129" s="40"/>
      <c r="E129" s="36"/>
      <c r="F129" s="90">
        <v>0</v>
      </c>
      <c r="G129" s="40">
        <f t="shared" si="24"/>
        <v>0</v>
      </c>
      <c r="H129" s="40">
        <f>+G129*25%</f>
        <v>0</v>
      </c>
      <c r="I129" s="40">
        <f>+G129*46%</f>
        <v>0</v>
      </c>
      <c r="J129" s="40">
        <f>+G129*13%</f>
        <v>0</v>
      </c>
      <c r="K129" s="40">
        <f>+G129*16%</f>
        <v>0</v>
      </c>
      <c r="L129" s="40"/>
      <c r="M129" s="19"/>
      <c r="N129" s="36"/>
      <c r="O129" s="40">
        <f t="shared" si="25"/>
        <v>0</v>
      </c>
      <c r="P129" s="40">
        <f>+O129*25%</f>
        <v>0</v>
      </c>
      <c r="Q129" s="40">
        <f>+O129*46%</f>
        <v>0</v>
      </c>
      <c r="R129" s="40">
        <f>+O129*13%</f>
        <v>0</v>
      </c>
      <c r="S129" s="40">
        <f>+O129*16%</f>
        <v>0</v>
      </c>
      <c r="T129" s="40"/>
    </row>
    <row r="130" spans="1:20" s="15" customFormat="1" ht="12">
      <c r="A130" s="163"/>
      <c r="B130" s="35"/>
      <c r="C130" s="25"/>
      <c r="D130" s="40"/>
      <c r="E130" s="36"/>
      <c r="F130" s="90">
        <v>346</v>
      </c>
      <c r="G130" s="40">
        <f t="shared" si="24"/>
        <v>0</v>
      </c>
      <c r="H130" s="40"/>
      <c r="I130" s="40"/>
      <c r="J130" s="40"/>
      <c r="K130" s="40">
        <f>+G130*100%</f>
        <v>0</v>
      </c>
      <c r="L130" s="40"/>
      <c r="M130" s="19"/>
      <c r="N130" s="36"/>
      <c r="O130" s="40">
        <f t="shared" si="25"/>
        <v>0</v>
      </c>
      <c r="P130" s="40"/>
      <c r="Q130" s="40"/>
      <c r="R130" s="40"/>
      <c r="S130" s="40">
        <f>+O130*100%</f>
        <v>0</v>
      </c>
      <c r="T130" s="40"/>
    </row>
    <row r="131" spans="1:20" s="15" customFormat="1" ht="12">
      <c r="A131" s="163"/>
      <c r="B131" s="35"/>
      <c r="C131" s="25"/>
      <c r="D131" s="40"/>
      <c r="E131" s="36"/>
      <c r="F131" s="90">
        <v>8.1999999999999993</v>
      </c>
      <c r="G131" s="40">
        <f t="shared" si="24"/>
        <v>0</v>
      </c>
      <c r="H131" s="40"/>
      <c r="I131" s="40">
        <f>+G131*78%</f>
        <v>0</v>
      </c>
      <c r="J131" s="40">
        <f>+G131*22%</f>
        <v>0</v>
      </c>
      <c r="K131" s="40"/>
      <c r="L131" s="40"/>
      <c r="M131" s="19"/>
      <c r="N131" s="36"/>
      <c r="O131" s="40">
        <f t="shared" si="25"/>
        <v>0</v>
      </c>
      <c r="P131" s="40"/>
      <c r="Q131" s="40">
        <f>+O131*78%</f>
        <v>0</v>
      </c>
      <c r="R131" s="40">
        <f>+O131*22%</f>
        <v>0</v>
      </c>
      <c r="S131" s="40"/>
      <c r="T131" s="40"/>
    </row>
    <row r="132" spans="1:20" s="15" customFormat="1" ht="12">
      <c r="A132" s="163"/>
      <c r="B132" s="35"/>
      <c r="C132" s="25"/>
      <c r="D132" s="40"/>
      <c r="E132" s="36"/>
      <c r="F132" s="90">
        <v>72.52</v>
      </c>
      <c r="G132" s="40">
        <f t="shared" si="24"/>
        <v>0</v>
      </c>
      <c r="H132" s="40"/>
      <c r="I132" s="40">
        <f>+G132*78%</f>
        <v>0</v>
      </c>
      <c r="J132" s="40">
        <f>+G132*22%</f>
        <v>0</v>
      </c>
      <c r="K132" s="40"/>
      <c r="L132" s="40"/>
      <c r="M132" s="19"/>
      <c r="N132" s="36"/>
      <c r="O132" s="40">
        <f t="shared" si="25"/>
        <v>0</v>
      </c>
      <c r="P132" s="40"/>
      <c r="Q132" s="40">
        <f>+O132*78%</f>
        <v>0</v>
      </c>
      <c r="R132" s="40">
        <f>+O132*22%</f>
        <v>0</v>
      </c>
      <c r="S132" s="40"/>
      <c r="T132" s="40"/>
    </row>
    <row r="133" spans="1:20" s="15" customFormat="1" ht="12">
      <c r="A133" s="163"/>
      <c r="B133" s="35"/>
      <c r="C133" s="25"/>
      <c r="D133" s="40"/>
      <c r="E133" s="36"/>
      <c r="F133" s="90">
        <v>72.52</v>
      </c>
      <c r="G133" s="40">
        <f t="shared" si="24"/>
        <v>0</v>
      </c>
      <c r="H133" s="40"/>
      <c r="I133" s="40">
        <f>+G133*78%</f>
        <v>0</v>
      </c>
      <c r="J133" s="40">
        <f>+G133*22%</f>
        <v>0</v>
      </c>
      <c r="K133" s="40"/>
      <c r="L133" s="40"/>
      <c r="M133" s="19"/>
      <c r="N133" s="36"/>
      <c r="O133" s="40">
        <f t="shared" si="25"/>
        <v>0</v>
      </c>
      <c r="P133" s="40"/>
      <c r="Q133" s="40">
        <f>+O133*78%</f>
        <v>0</v>
      </c>
      <c r="R133" s="40">
        <f>+O133*22%</f>
        <v>0</v>
      </c>
      <c r="S133" s="40"/>
      <c r="T133" s="40"/>
    </row>
    <row r="134" spans="1:20" s="15" customFormat="1" ht="12">
      <c r="A134" s="163"/>
      <c r="B134" s="35"/>
      <c r="C134" s="25"/>
      <c r="D134" s="40"/>
      <c r="E134" s="36"/>
      <c r="F134" s="90">
        <v>413.85</v>
      </c>
      <c r="G134" s="40">
        <f t="shared" si="24"/>
        <v>0</v>
      </c>
      <c r="H134" s="40">
        <f>+G134*100%</f>
        <v>0</v>
      </c>
      <c r="I134" s="40"/>
      <c r="J134" s="40"/>
      <c r="K134" s="40"/>
      <c r="L134" s="40"/>
      <c r="M134" s="19"/>
      <c r="N134" s="36"/>
      <c r="O134" s="40">
        <f t="shared" si="25"/>
        <v>0</v>
      </c>
      <c r="P134" s="40">
        <f>+O134*100%</f>
        <v>0</v>
      </c>
      <c r="Q134" s="40"/>
      <c r="R134" s="40"/>
      <c r="S134" s="40"/>
      <c r="T134" s="40"/>
    </row>
    <row r="135" spans="1:20" s="15" customFormat="1" ht="12">
      <c r="A135" s="163"/>
      <c r="B135" s="35"/>
      <c r="C135" s="25"/>
      <c r="D135" s="40"/>
      <c r="E135" s="36"/>
      <c r="F135" s="90">
        <v>561260.88</v>
      </c>
      <c r="G135" s="40">
        <f t="shared" si="24"/>
        <v>0</v>
      </c>
      <c r="H135" s="40"/>
      <c r="I135" s="40">
        <f>+G135*78%</f>
        <v>0</v>
      </c>
      <c r="J135" s="40">
        <f>+G135*22%</f>
        <v>0</v>
      </c>
      <c r="K135" s="40"/>
      <c r="L135" s="40"/>
      <c r="M135" s="19"/>
      <c r="N135" s="36"/>
      <c r="O135" s="40">
        <f t="shared" si="25"/>
        <v>0</v>
      </c>
      <c r="P135" s="40"/>
      <c r="Q135" s="40">
        <f>+O135*78%</f>
        <v>0</v>
      </c>
      <c r="R135" s="40">
        <f>+O135*22%</f>
        <v>0</v>
      </c>
      <c r="S135" s="40"/>
      <c r="T135" s="40"/>
    </row>
    <row r="136" spans="1:20" s="15" customFormat="1" ht="12">
      <c r="A136" s="163"/>
      <c r="B136" s="35"/>
      <c r="C136" s="25"/>
      <c r="D136" s="40"/>
      <c r="E136" s="36"/>
      <c r="F136" s="90">
        <v>271.7</v>
      </c>
      <c r="G136" s="40">
        <f t="shared" si="24"/>
        <v>0</v>
      </c>
      <c r="H136" s="40">
        <f>+G136*100%</f>
        <v>0</v>
      </c>
      <c r="I136" s="40"/>
      <c r="J136" s="40"/>
      <c r="K136" s="40"/>
      <c r="L136" s="40"/>
      <c r="M136" s="19"/>
      <c r="N136" s="36"/>
      <c r="O136" s="40">
        <f t="shared" si="25"/>
        <v>0</v>
      </c>
      <c r="P136" s="40">
        <f>+O136*100%</f>
        <v>0</v>
      </c>
      <c r="Q136" s="40"/>
      <c r="R136" s="40"/>
      <c r="S136" s="40"/>
      <c r="T136" s="40"/>
    </row>
    <row r="137" spans="1:20" s="15" customFormat="1" ht="12">
      <c r="A137" s="163"/>
      <c r="B137" s="35"/>
      <c r="C137" s="25"/>
      <c r="D137" s="40"/>
      <c r="E137" s="36"/>
      <c r="F137" s="90">
        <v>711.05</v>
      </c>
      <c r="G137" s="40">
        <f t="shared" si="24"/>
        <v>0</v>
      </c>
      <c r="H137" s="40">
        <f>+G137*100%</f>
        <v>0</v>
      </c>
      <c r="I137" s="40"/>
      <c r="J137" s="40"/>
      <c r="K137" s="40"/>
      <c r="L137" s="40"/>
      <c r="M137" s="19"/>
      <c r="N137" s="36"/>
      <c r="O137" s="40">
        <f t="shared" si="25"/>
        <v>0</v>
      </c>
      <c r="P137" s="40">
        <f>+O137*100%</f>
        <v>0</v>
      </c>
      <c r="Q137" s="40"/>
      <c r="R137" s="40"/>
      <c r="S137" s="40"/>
      <c r="T137" s="40"/>
    </row>
    <row r="138" spans="1:20" s="15" customFormat="1" ht="12">
      <c r="A138" s="163"/>
      <c r="B138" s="35"/>
      <c r="C138" s="25"/>
      <c r="D138" s="40"/>
      <c r="E138" s="36"/>
      <c r="F138" s="90">
        <v>4276.58</v>
      </c>
      <c r="G138" s="40">
        <f t="shared" si="24"/>
        <v>0</v>
      </c>
      <c r="H138" s="40"/>
      <c r="I138" s="40"/>
      <c r="J138" s="40"/>
      <c r="K138" s="40"/>
      <c r="L138" s="40">
        <f>+G138*100%</f>
        <v>0</v>
      </c>
      <c r="M138" s="19"/>
      <c r="N138" s="36"/>
      <c r="O138" s="40">
        <f t="shared" si="25"/>
        <v>0</v>
      </c>
      <c r="P138" s="40"/>
      <c r="Q138" s="40"/>
      <c r="R138" s="40"/>
      <c r="S138" s="40"/>
      <c r="T138" s="40">
        <f>+O138*100%</f>
        <v>0</v>
      </c>
    </row>
    <row r="139" spans="1:20" s="15" customFormat="1" ht="12">
      <c r="A139" s="163"/>
      <c r="B139" s="35"/>
      <c r="C139" s="25"/>
      <c r="D139" s="40"/>
      <c r="E139" s="36"/>
      <c r="F139" s="90">
        <v>0</v>
      </c>
      <c r="G139" s="40">
        <f t="shared" si="24"/>
        <v>0</v>
      </c>
      <c r="H139" s="40"/>
      <c r="I139" s="40">
        <f>+G139*78%</f>
        <v>0</v>
      </c>
      <c r="J139" s="40">
        <f>+G139*22%</f>
        <v>0</v>
      </c>
      <c r="K139" s="40"/>
      <c r="L139" s="40"/>
      <c r="M139" s="19"/>
      <c r="N139" s="36"/>
      <c r="O139" s="40">
        <f t="shared" si="25"/>
        <v>0</v>
      </c>
      <c r="P139" s="40"/>
      <c r="Q139" s="40">
        <f>+O139*78%</f>
        <v>0</v>
      </c>
      <c r="R139" s="40">
        <f>+O139*22%</f>
        <v>0</v>
      </c>
      <c r="S139" s="40"/>
      <c r="T139" s="40"/>
    </row>
    <row r="140" spans="1:20" s="15" customFormat="1" ht="12">
      <c r="A140" s="163"/>
      <c r="B140" s="35"/>
      <c r="C140" s="25"/>
      <c r="D140" s="40"/>
      <c r="E140" s="36"/>
      <c r="F140" s="90">
        <v>131.28</v>
      </c>
      <c r="G140" s="40">
        <f t="shared" si="24"/>
        <v>0</v>
      </c>
      <c r="H140" s="40">
        <f>+G140*100%</f>
        <v>0</v>
      </c>
      <c r="I140" s="40"/>
      <c r="J140" s="40"/>
      <c r="K140" s="40"/>
      <c r="L140" s="40"/>
      <c r="M140" s="19"/>
      <c r="N140" s="36"/>
      <c r="O140" s="40">
        <f t="shared" si="25"/>
        <v>0</v>
      </c>
      <c r="P140" s="40">
        <f>+O140*100%</f>
        <v>0</v>
      </c>
      <c r="Q140" s="40"/>
      <c r="R140" s="40"/>
      <c r="S140" s="40"/>
      <c r="T140" s="40"/>
    </row>
    <row r="141" spans="1:20" s="15" customFormat="1" ht="12">
      <c r="A141" s="163"/>
      <c r="B141" s="35"/>
      <c r="C141" s="25"/>
      <c r="D141" s="40"/>
      <c r="E141" s="36"/>
      <c r="F141" s="90">
        <v>65.150000000000006</v>
      </c>
      <c r="G141" s="40">
        <f t="shared" si="24"/>
        <v>0</v>
      </c>
      <c r="H141" s="40"/>
      <c r="I141" s="40">
        <f>+G141*61%</f>
        <v>0</v>
      </c>
      <c r="J141" s="40">
        <f>+G141*17%</f>
        <v>0</v>
      </c>
      <c r="K141" s="40">
        <f>+G141*22%</f>
        <v>0</v>
      </c>
      <c r="L141" s="40"/>
      <c r="M141" s="19"/>
      <c r="N141" s="36"/>
      <c r="O141" s="40">
        <f t="shared" si="25"/>
        <v>0</v>
      </c>
      <c r="P141" s="40"/>
      <c r="Q141" s="40">
        <f>+O141*61%</f>
        <v>0</v>
      </c>
      <c r="R141" s="40">
        <f>+O141*17%</f>
        <v>0</v>
      </c>
      <c r="S141" s="40">
        <f>+O141*22%</f>
        <v>0</v>
      </c>
      <c r="T141" s="40"/>
    </row>
    <row r="142" spans="1:20" s="15" customFormat="1" ht="12">
      <c r="A142" s="163"/>
      <c r="B142" s="35"/>
      <c r="C142" s="25"/>
      <c r="D142" s="40"/>
      <c r="E142" s="36"/>
      <c r="F142" s="90">
        <v>93.6</v>
      </c>
      <c r="G142" s="40">
        <f t="shared" si="24"/>
        <v>0</v>
      </c>
      <c r="H142" s="40">
        <f>+G142*100%</f>
        <v>0</v>
      </c>
      <c r="I142" s="40"/>
      <c r="J142" s="40"/>
      <c r="K142" s="40"/>
      <c r="L142" s="40"/>
      <c r="M142" s="19"/>
      <c r="N142" s="36"/>
      <c r="O142" s="40">
        <f t="shared" si="25"/>
        <v>0</v>
      </c>
      <c r="P142" s="40">
        <f>+O142*100%</f>
        <v>0</v>
      </c>
      <c r="Q142" s="40"/>
      <c r="R142" s="40"/>
      <c r="S142" s="40"/>
      <c r="T142" s="40"/>
    </row>
    <row r="143" spans="1:20" s="15" customFormat="1" ht="12">
      <c r="A143" s="163"/>
      <c r="B143" s="35"/>
      <c r="C143" s="25"/>
      <c r="D143" s="40"/>
      <c r="E143" s="36"/>
      <c r="F143" s="90">
        <v>395.28</v>
      </c>
      <c r="G143" s="40">
        <f t="shared" si="24"/>
        <v>0</v>
      </c>
      <c r="H143" s="40"/>
      <c r="I143" s="40">
        <f>+G143*100%</f>
        <v>0</v>
      </c>
      <c r="J143" s="40"/>
      <c r="K143" s="40"/>
      <c r="L143" s="40"/>
      <c r="M143" s="19"/>
      <c r="N143" s="36"/>
      <c r="O143" s="40">
        <f t="shared" si="25"/>
        <v>0</v>
      </c>
      <c r="P143" s="40"/>
      <c r="Q143" s="40">
        <f>+O143*100%</f>
        <v>0</v>
      </c>
      <c r="R143" s="40"/>
      <c r="S143" s="40"/>
      <c r="T143" s="40"/>
    </row>
    <row r="144" spans="1:20" s="15" customFormat="1" ht="12">
      <c r="A144" s="163"/>
      <c r="B144" s="35"/>
      <c r="C144" s="25"/>
      <c r="D144" s="40"/>
      <c r="E144" s="36"/>
      <c r="F144" s="90">
        <v>178.58</v>
      </c>
      <c r="G144" s="40">
        <f t="shared" si="24"/>
        <v>0</v>
      </c>
      <c r="H144" s="40">
        <f>+G144*100%</f>
        <v>0</v>
      </c>
      <c r="I144" s="40"/>
      <c r="J144" s="40"/>
      <c r="K144" s="40"/>
      <c r="L144" s="40"/>
      <c r="M144" s="19"/>
      <c r="N144" s="36"/>
      <c r="O144" s="40">
        <f t="shared" si="25"/>
        <v>0</v>
      </c>
      <c r="P144" s="40">
        <f>+O144*100%</f>
        <v>0</v>
      </c>
      <c r="Q144" s="40"/>
      <c r="R144" s="40"/>
      <c r="S144" s="40"/>
      <c r="T144" s="40"/>
    </row>
    <row r="145" spans="1:20" s="15" customFormat="1" ht="12">
      <c r="A145" s="163"/>
      <c r="B145" s="35"/>
      <c r="C145" s="25"/>
      <c r="D145" s="40"/>
      <c r="E145" s="36"/>
      <c r="F145" s="90">
        <v>167.32</v>
      </c>
      <c r="G145" s="40">
        <f t="shared" si="24"/>
        <v>0</v>
      </c>
      <c r="H145" s="40">
        <f>+G145*100%</f>
        <v>0</v>
      </c>
      <c r="I145" s="40"/>
      <c r="J145" s="40"/>
      <c r="K145" s="40"/>
      <c r="L145" s="40"/>
      <c r="M145" s="19"/>
      <c r="N145" s="36"/>
      <c r="O145" s="40">
        <f t="shared" si="25"/>
        <v>0</v>
      </c>
      <c r="P145" s="40">
        <f>+O145*100%</f>
        <v>0</v>
      </c>
      <c r="Q145" s="40"/>
      <c r="R145" s="40"/>
      <c r="S145" s="40"/>
      <c r="T145" s="40"/>
    </row>
    <row r="146" spans="1:20" s="15" customFormat="1" ht="12">
      <c r="A146" s="163"/>
      <c r="B146" s="35"/>
      <c r="C146" s="25"/>
      <c r="D146" s="40"/>
      <c r="E146" s="36"/>
      <c r="F146" s="90">
        <v>0</v>
      </c>
      <c r="G146" s="40">
        <f t="shared" si="24"/>
        <v>0</v>
      </c>
      <c r="H146" s="40"/>
      <c r="I146" s="40">
        <f>+G146*78%</f>
        <v>0</v>
      </c>
      <c r="J146" s="40">
        <f>+G146*22%</f>
        <v>0</v>
      </c>
      <c r="K146" s="40"/>
      <c r="L146" s="40"/>
      <c r="M146" s="19"/>
      <c r="N146" s="36"/>
      <c r="O146" s="40">
        <f t="shared" si="25"/>
        <v>0</v>
      </c>
      <c r="P146" s="40"/>
      <c r="Q146" s="40">
        <f>+O146*78%</f>
        <v>0</v>
      </c>
      <c r="R146" s="40">
        <f>+O146*22%</f>
        <v>0</v>
      </c>
      <c r="S146" s="40"/>
      <c r="T146" s="40"/>
    </row>
    <row r="147" spans="1:20" s="15" customFormat="1" ht="12">
      <c r="A147" s="163"/>
      <c r="B147" s="35"/>
      <c r="C147" s="25"/>
      <c r="D147" s="40"/>
      <c r="E147" s="36"/>
      <c r="F147" s="90">
        <v>0</v>
      </c>
      <c r="G147" s="40">
        <f t="shared" si="24"/>
        <v>0</v>
      </c>
      <c r="H147" s="40"/>
      <c r="I147" s="40">
        <f>+G147*61%</f>
        <v>0</v>
      </c>
      <c r="J147" s="40">
        <f>+G147*17%</f>
        <v>0</v>
      </c>
      <c r="K147" s="40">
        <f>+G147*22%</f>
        <v>0</v>
      </c>
      <c r="L147" s="40"/>
      <c r="M147" s="19"/>
      <c r="N147" s="36"/>
      <c r="O147" s="40">
        <f t="shared" si="25"/>
        <v>0</v>
      </c>
      <c r="P147" s="40"/>
      <c r="Q147" s="40">
        <f>+O147*61%</f>
        <v>0</v>
      </c>
      <c r="R147" s="40">
        <f>+O147*17%</f>
        <v>0</v>
      </c>
      <c r="S147" s="40">
        <f>+O147*22%</f>
        <v>0</v>
      </c>
      <c r="T147" s="40"/>
    </row>
    <row r="148" spans="1:20" s="15" customFormat="1" ht="12">
      <c r="A148" s="163"/>
      <c r="B148" s="35"/>
      <c r="C148" s="25"/>
      <c r="D148" s="40"/>
      <c r="E148" s="36"/>
      <c r="F148" s="90">
        <v>0</v>
      </c>
      <c r="G148" s="40">
        <f t="shared" si="24"/>
        <v>0</v>
      </c>
      <c r="H148" s="40"/>
      <c r="I148" s="40">
        <f>+G148*78%</f>
        <v>0</v>
      </c>
      <c r="J148" s="40">
        <f>+G148*22%</f>
        <v>0</v>
      </c>
      <c r="K148" s="40"/>
      <c r="L148" s="40"/>
      <c r="M148" s="19"/>
      <c r="N148" s="36"/>
      <c r="O148" s="40">
        <f t="shared" si="25"/>
        <v>0</v>
      </c>
      <c r="P148" s="40"/>
      <c r="Q148" s="40">
        <f>+O148*78%</f>
        <v>0</v>
      </c>
      <c r="R148" s="40">
        <f>+O148*22%</f>
        <v>0</v>
      </c>
      <c r="S148" s="40"/>
      <c r="T148" s="40"/>
    </row>
    <row r="149" spans="1:20" s="15" customFormat="1" ht="12">
      <c r="A149" s="163"/>
      <c r="B149" s="35"/>
      <c r="C149" s="25"/>
      <c r="D149" s="40"/>
      <c r="E149" s="36"/>
      <c r="F149" s="90">
        <v>8.5299999999999994</v>
      </c>
      <c r="G149" s="40">
        <f t="shared" si="24"/>
        <v>0</v>
      </c>
      <c r="H149" s="40"/>
      <c r="I149" s="40">
        <f>+G149*78%</f>
        <v>0</v>
      </c>
      <c r="J149" s="40">
        <f>+G149*22%</f>
        <v>0</v>
      </c>
      <c r="K149" s="40"/>
      <c r="L149" s="40"/>
      <c r="M149" s="19"/>
      <c r="N149" s="36"/>
      <c r="O149" s="40">
        <f t="shared" si="25"/>
        <v>0</v>
      </c>
      <c r="P149" s="40"/>
      <c r="Q149" s="40">
        <f>+O149*78%</f>
        <v>0</v>
      </c>
      <c r="R149" s="40">
        <f>+O149*22%</f>
        <v>0</v>
      </c>
      <c r="S149" s="40"/>
      <c r="T149" s="40"/>
    </row>
    <row r="150" spans="1:20" s="15" customFormat="1" ht="12">
      <c r="A150" s="163"/>
      <c r="B150" s="35"/>
      <c r="C150" s="25"/>
      <c r="D150" s="40"/>
      <c r="E150" s="36"/>
      <c r="F150" s="90">
        <v>7792.43</v>
      </c>
      <c r="G150" s="40">
        <f t="shared" si="24"/>
        <v>0</v>
      </c>
      <c r="H150" s="40"/>
      <c r="I150" s="40">
        <f>+G150*100%</f>
        <v>0</v>
      </c>
      <c r="J150" s="40"/>
      <c r="K150" s="40"/>
      <c r="L150" s="40"/>
      <c r="M150" s="19"/>
      <c r="N150" s="36"/>
      <c r="O150" s="40">
        <f t="shared" ref="O150:O221" si="26">+N150*G150</f>
        <v>0</v>
      </c>
      <c r="P150" s="40"/>
      <c r="Q150" s="40">
        <f>+O150*100%</f>
        <v>0</v>
      </c>
      <c r="R150" s="40"/>
      <c r="S150" s="40"/>
      <c r="T150" s="40"/>
    </row>
    <row r="151" spans="1:20" s="15" customFormat="1" ht="12">
      <c r="A151" s="163"/>
      <c r="B151" s="35"/>
      <c r="C151" s="25"/>
      <c r="D151" s="40"/>
      <c r="E151" s="36"/>
      <c r="F151" s="90">
        <v>8439</v>
      </c>
      <c r="G151" s="40">
        <f t="shared" si="24"/>
        <v>0</v>
      </c>
      <c r="H151" s="40"/>
      <c r="I151" s="40">
        <f>+G151*61%</f>
        <v>0</v>
      </c>
      <c r="J151" s="40">
        <f>+G151*17%</f>
        <v>0</v>
      </c>
      <c r="K151" s="40">
        <f>+G151*22%</f>
        <v>0</v>
      </c>
      <c r="L151" s="40"/>
      <c r="M151" s="19"/>
      <c r="N151" s="36"/>
      <c r="O151" s="40">
        <f t="shared" si="26"/>
        <v>0</v>
      </c>
      <c r="P151" s="40"/>
      <c r="Q151" s="40">
        <f>+O151*61%</f>
        <v>0</v>
      </c>
      <c r="R151" s="40">
        <f>+O151*17%</f>
        <v>0</v>
      </c>
      <c r="S151" s="40">
        <f>+O151*22%</f>
        <v>0</v>
      </c>
      <c r="T151" s="40"/>
    </row>
    <row r="152" spans="1:20" s="15" customFormat="1" ht="12">
      <c r="A152" s="163"/>
      <c r="B152" s="35"/>
      <c r="C152" s="25"/>
      <c r="D152" s="40"/>
      <c r="E152" s="36"/>
      <c r="F152" s="90">
        <v>0</v>
      </c>
      <c r="G152" s="40">
        <f t="shared" si="24"/>
        <v>0</v>
      </c>
      <c r="H152" s="40">
        <f>+G152*25%</f>
        <v>0</v>
      </c>
      <c r="I152" s="40">
        <f>+G152*46%</f>
        <v>0</v>
      </c>
      <c r="J152" s="40">
        <f>+G152*13%</f>
        <v>0</v>
      </c>
      <c r="K152" s="40">
        <f>+G152*16%</f>
        <v>0</v>
      </c>
      <c r="L152" s="40"/>
      <c r="M152" s="19"/>
      <c r="N152" s="36"/>
      <c r="O152" s="40">
        <f t="shared" si="26"/>
        <v>0</v>
      </c>
      <c r="P152" s="40">
        <f>+O152*25%</f>
        <v>0</v>
      </c>
      <c r="Q152" s="40">
        <f>+O152*46%</f>
        <v>0</v>
      </c>
      <c r="R152" s="40">
        <f>+O152*13%</f>
        <v>0</v>
      </c>
      <c r="S152" s="40">
        <f>+O152*16%</f>
        <v>0</v>
      </c>
      <c r="T152" s="40"/>
    </row>
    <row r="153" spans="1:20" s="15" customFormat="1" ht="12">
      <c r="A153" s="163"/>
      <c r="B153" s="35"/>
      <c r="C153" s="25"/>
      <c r="D153" s="40"/>
      <c r="E153" s="36"/>
      <c r="F153" s="90">
        <v>120.5</v>
      </c>
      <c r="G153" s="40">
        <f t="shared" si="24"/>
        <v>0</v>
      </c>
      <c r="H153" s="40">
        <f>+G153*100%</f>
        <v>0</v>
      </c>
      <c r="I153" s="40"/>
      <c r="J153" s="40"/>
      <c r="K153" s="40"/>
      <c r="L153" s="40"/>
      <c r="M153" s="19"/>
      <c r="N153" s="36"/>
      <c r="O153" s="40">
        <f t="shared" si="26"/>
        <v>0</v>
      </c>
      <c r="P153" s="40">
        <f>+O153*100%</f>
        <v>0</v>
      </c>
      <c r="Q153" s="40"/>
      <c r="R153" s="40"/>
      <c r="S153" s="40"/>
      <c r="T153" s="40"/>
    </row>
    <row r="154" spans="1:20" s="15" customFormat="1" ht="12">
      <c r="A154" s="163"/>
      <c r="B154" s="35"/>
      <c r="C154" s="25"/>
      <c r="D154" s="40"/>
      <c r="E154" s="36"/>
      <c r="F154" s="90">
        <v>303.49</v>
      </c>
      <c r="G154" s="40">
        <f t="shared" si="24"/>
        <v>0</v>
      </c>
      <c r="H154" s="40">
        <f>+G154*100%</f>
        <v>0</v>
      </c>
      <c r="I154" s="40"/>
      <c r="J154" s="40"/>
      <c r="K154" s="40"/>
      <c r="L154" s="40"/>
      <c r="M154" s="19"/>
      <c r="N154" s="36"/>
      <c r="O154" s="40">
        <f t="shared" si="26"/>
        <v>0</v>
      </c>
      <c r="P154" s="40">
        <f>+O154*100%</f>
        <v>0</v>
      </c>
      <c r="Q154" s="40"/>
      <c r="R154" s="40"/>
      <c r="S154" s="40"/>
      <c r="T154" s="40"/>
    </row>
    <row r="155" spans="1:20" s="15" customFormat="1" ht="12">
      <c r="A155" s="163"/>
      <c r="B155" s="35"/>
      <c r="C155" s="25"/>
      <c r="D155" s="40"/>
      <c r="E155" s="36"/>
      <c r="F155" s="90">
        <v>100.94</v>
      </c>
      <c r="G155" s="40">
        <f t="shared" si="24"/>
        <v>0</v>
      </c>
      <c r="H155" s="40">
        <f>+G155*100%</f>
        <v>0</v>
      </c>
      <c r="I155" s="40"/>
      <c r="J155" s="40"/>
      <c r="K155" s="40"/>
      <c r="L155" s="40"/>
      <c r="M155" s="19"/>
      <c r="N155" s="36"/>
      <c r="O155" s="40">
        <f t="shared" si="26"/>
        <v>0</v>
      </c>
      <c r="P155" s="40">
        <f>+O155*100%</f>
        <v>0</v>
      </c>
      <c r="Q155" s="40"/>
      <c r="R155" s="40"/>
      <c r="S155" s="40"/>
      <c r="T155" s="40"/>
    </row>
    <row r="156" spans="1:20" s="15" customFormat="1" ht="12">
      <c r="A156" s="163"/>
      <c r="B156" s="35"/>
      <c r="C156" s="25"/>
      <c r="D156" s="40"/>
      <c r="E156" s="36"/>
      <c r="F156" s="90">
        <v>165.59</v>
      </c>
      <c r="G156" s="40">
        <f t="shared" si="24"/>
        <v>0</v>
      </c>
      <c r="H156" s="40"/>
      <c r="I156" s="40">
        <f>+G156*61%</f>
        <v>0</v>
      </c>
      <c r="J156" s="40">
        <f>+G156*17%</f>
        <v>0</v>
      </c>
      <c r="K156" s="40">
        <f>+G156*22%</f>
        <v>0</v>
      </c>
      <c r="L156" s="40"/>
      <c r="M156" s="19"/>
      <c r="N156" s="36"/>
      <c r="O156" s="40">
        <f t="shared" si="26"/>
        <v>0</v>
      </c>
      <c r="P156" s="40"/>
      <c r="Q156" s="40">
        <f>+O156*79%</f>
        <v>0</v>
      </c>
      <c r="R156" s="40">
        <f>+O156*21%</f>
        <v>0</v>
      </c>
      <c r="S156" s="40">
        <f>+O156*22%</f>
        <v>0</v>
      </c>
      <c r="T156" s="40"/>
    </row>
    <row r="157" spans="1:20" s="15" customFormat="1" ht="12">
      <c r="A157" s="163"/>
      <c r="B157" s="35"/>
      <c r="C157" s="25"/>
      <c r="D157" s="40"/>
      <c r="E157" s="36"/>
      <c r="F157" s="90">
        <v>110.79</v>
      </c>
      <c r="G157" s="40">
        <f t="shared" si="24"/>
        <v>0</v>
      </c>
      <c r="H157" s="40"/>
      <c r="I157" s="40">
        <f>+G157*61%</f>
        <v>0</v>
      </c>
      <c r="J157" s="40">
        <f>+G157*17%</f>
        <v>0</v>
      </c>
      <c r="K157" s="40">
        <f>+G157*22%</f>
        <v>0</v>
      </c>
      <c r="L157" s="40"/>
      <c r="M157" s="19"/>
      <c r="N157" s="36"/>
      <c r="O157" s="40">
        <f t="shared" si="26"/>
        <v>0</v>
      </c>
      <c r="P157" s="40"/>
      <c r="Q157" s="40">
        <f>+O157*61%</f>
        <v>0</v>
      </c>
      <c r="R157" s="40">
        <f>+O157*17%</f>
        <v>0</v>
      </c>
      <c r="S157" s="40">
        <f>+O157*22%</f>
        <v>0</v>
      </c>
      <c r="T157" s="40"/>
    </row>
    <row r="158" spans="1:20" s="15" customFormat="1" ht="12">
      <c r="A158" s="163"/>
      <c r="B158" s="35"/>
      <c r="C158" s="25"/>
      <c r="D158" s="40"/>
      <c r="E158" s="36"/>
      <c r="F158" s="90">
        <v>49.35</v>
      </c>
      <c r="G158" s="40">
        <f t="shared" si="24"/>
        <v>0</v>
      </c>
      <c r="H158" s="40"/>
      <c r="I158" s="40">
        <f>+G158*100%</f>
        <v>0</v>
      </c>
      <c r="J158" s="40"/>
      <c r="K158" s="40"/>
      <c r="L158" s="40"/>
      <c r="M158" s="19"/>
      <c r="N158" s="36"/>
      <c r="O158" s="40">
        <f t="shared" si="26"/>
        <v>0</v>
      </c>
      <c r="P158" s="40"/>
      <c r="Q158" s="40">
        <f>+O158*100%</f>
        <v>0</v>
      </c>
      <c r="R158" s="40"/>
      <c r="S158" s="40"/>
      <c r="T158" s="40"/>
    </row>
    <row r="159" spans="1:20" s="15" customFormat="1" ht="12">
      <c r="A159" s="163"/>
      <c r="B159" s="35"/>
      <c r="C159" s="25"/>
      <c r="D159" s="40"/>
      <c r="E159" s="36"/>
      <c r="F159" s="90">
        <v>81</v>
      </c>
      <c r="G159" s="40">
        <f t="shared" si="24"/>
        <v>0</v>
      </c>
      <c r="H159" s="40"/>
      <c r="I159" s="40">
        <f>+G159*78%</f>
        <v>0</v>
      </c>
      <c r="J159" s="40">
        <f>+G159*22%</f>
        <v>0</v>
      </c>
      <c r="K159" s="40"/>
      <c r="L159" s="40"/>
      <c r="M159" s="19"/>
      <c r="N159" s="36"/>
      <c r="O159" s="40">
        <f t="shared" si="26"/>
        <v>0</v>
      </c>
      <c r="P159" s="40"/>
      <c r="Q159" s="40">
        <f>+O159*78%</f>
        <v>0</v>
      </c>
      <c r="R159" s="40">
        <f>+O159*22%</f>
        <v>0</v>
      </c>
      <c r="S159" s="40"/>
      <c r="T159" s="40"/>
    </row>
    <row r="160" spans="1:20" s="15" customFormat="1" ht="12">
      <c r="A160" s="163"/>
      <c r="B160" s="35"/>
      <c r="C160" s="25"/>
      <c r="D160" s="40"/>
      <c r="E160" s="36"/>
      <c r="F160" s="90">
        <v>136.58000000000001</v>
      </c>
      <c r="G160" s="40">
        <f t="shared" si="24"/>
        <v>0</v>
      </c>
      <c r="H160" s="40">
        <f>+G160*100%</f>
        <v>0</v>
      </c>
      <c r="I160" s="40"/>
      <c r="J160" s="40"/>
      <c r="K160" s="40"/>
      <c r="L160" s="40"/>
      <c r="M160" s="19"/>
      <c r="N160" s="36"/>
      <c r="O160" s="40">
        <f t="shared" si="26"/>
        <v>0</v>
      </c>
      <c r="P160" s="40">
        <f>+O160*100%</f>
        <v>0</v>
      </c>
      <c r="Q160" s="40"/>
      <c r="R160" s="40"/>
      <c r="S160" s="40"/>
      <c r="T160" s="40"/>
    </row>
    <row r="161" spans="1:21" s="15" customFormat="1" ht="12">
      <c r="A161" s="163"/>
      <c r="B161" s="35"/>
      <c r="C161" s="25"/>
      <c r="D161" s="40"/>
      <c r="E161" s="36"/>
      <c r="F161" s="90">
        <v>0</v>
      </c>
      <c r="G161" s="40">
        <f t="shared" si="24"/>
        <v>0</v>
      </c>
      <c r="H161" s="40"/>
      <c r="I161" s="40">
        <f>+G161*61%</f>
        <v>0</v>
      </c>
      <c r="J161" s="40">
        <f>+G161*17%</f>
        <v>0</v>
      </c>
      <c r="K161" s="40">
        <f>+G161*22%</f>
        <v>0</v>
      </c>
      <c r="L161" s="40"/>
      <c r="M161" s="19"/>
      <c r="N161" s="36"/>
      <c r="O161" s="40">
        <f t="shared" si="26"/>
        <v>0</v>
      </c>
      <c r="P161" s="40"/>
      <c r="Q161" s="40">
        <f>+O161*61%</f>
        <v>0</v>
      </c>
      <c r="R161" s="40">
        <f>+O161*17%</f>
        <v>0</v>
      </c>
      <c r="S161" s="40">
        <f>+O161*22%</f>
        <v>0</v>
      </c>
      <c r="T161" s="40"/>
    </row>
    <row r="162" spans="1:21" s="15" customFormat="1" ht="12">
      <c r="A162" s="163"/>
      <c r="B162" s="35"/>
      <c r="C162" s="25"/>
      <c r="D162" s="40"/>
      <c r="E162" s="36"/>
      <c r="F162" s="90">
        <v>0</v>
      </c>
      <c r="G162" s="40">
        <f t="shared" si="24"/>
        <v>0</v>
      </c>
      <c r="H162" s="40"/>
      <c r="I162" s="40">
        <f>+G162*61%</f>
        <v>0</v>
      </c>
      <c r="J162" s="40">
        <f>+G162*17%</f>
        <v>0</v>
      </c>
      <c r="K162" s="40">
        <f>+G162*22%</f>
        <v>0</v>
      </c>
      <c r="L162" s="40"/>
      <c r="M162" s="19"/>
      <c r="N162" s="36"/>
      <c r="O162" s="40">
        <f t="shared" si="26"/>
        <v>0</v>
      </c>
      <c r="P162" s="40"/>
      <c r="Q162" s="40">
        <f>+O162*61%</f>
        <v>0</v>
      </c>
      <c r="R162" s="40">
        <f>+O162*17%</f>
        <v>0</v>
      </c>
      <c r="S162" s="40">
        <f>+O162*22%</f>
        <v>0</v>
      </c>
      <c r="T162" s="40"/>
    </row>
    <row r="163" spans="1:21" s="15" customFormat="1" ht="12">
      <c r="A163" s="163"/>
      <c r="B163" s="35"/>
      <c r="C163" s="25"/>
      <c r="D163" s="40"/>
      <c r="E163" s="36"/>
      <c r="F163" s="90">
        <v>1396.64</v>
      </c>
      <c r="G163" s="40">
        <f t="shared" si="24"/>
        <v>0</v>
      </c>
      <c r="H163" s="40">
        <f>+G163*100%</f>
        <v>0</v>
      </c>
      <c r="I163" s="40"/>
      <c r="J163" s="40"/>
      <c r="K163" s="40"/>
      <c r="L163" s="40"/>
      <c r="M163" s="19"/>
      <c r="N163" s="36"/>
      <c r="O163" s="40">
        <f t="shared" si="26"/>
        <v>0</v>
      </c>
      <c r="P163" s="40">
        <f>+O163*100%</f>
        <v>0</v>
      </c>
      <c r="Q163" s="40"/>
      <c r="R163" s="40"/>
      <c r="S163" s="40"/>
      <c r="T163" s="40"/>
    </row>
    <row r="164" spans="1:21" s="15" customFormat="1" ht="12">
      <c r="A164" s="163"/>
      <c r="B164" s="35"/>
      <c r="C164" s="25"/>
      <c r="D164" s="40"/>
      <c r="E164" s="36"/>
      <c r="F164" s="90">
        <v>157.93</v>
      </c>
      <c r="G164" s="40">
        <f t="shared" si="24"/>
        <v>0</v>
      </c>
      <c r="H164" s="40">
        <f>+G164*100%</f>
        <v>0</v>
      </c>
      <c r="I164" s="40"/>
      <c r="J164" s="40"/>
      <c r="K164" s="40"/>
      <c r="L164" s="40"/>
      <c r="M164" s="19"/>
      <c r="N164" s="36"/>
      <c r="O164" s="40">
        <f t="shared" si="26"/>
        <v>0</v>
      </c>
      <c r="P164" s="40">
        <f>+O164*100%</f>
        <v>0</v>
      </c>
      <c r="Q164" s="40"/>
      <c r="R164" s="40"/>
      <c r="S164" s="40"/>
      <c r="T164" s="40"/>
    </row>
    <row r="165" spans="1:21" s="15" customFormat="1" ht="12">
      <c r="A165" s="163"/>
      <c r="B165" s="35"/>
      <c r="C165" s="25"/>
      <c r="D165" s="40"/>
      <c r="E165" s="36"/>
      <c r="F165" s="90">
        <v>806.2</v>
      </c>
      <c r="G165" s="40">
        <f t="shared" si="24"/>
        <v>0</v>
      </c>
      <c r="H165" s="40"/>
      <c r="I165" s="40">
        <f>+G165*100%</f>
        <v>0</v>
      </c>
      <c r="J165" s="40"/>
      <c r="K165" s="40"/>
      <c r="L165" s="40"/>
      <c r="M165" s="19"/>
      <c r="N165" s="36"/>
      <c r="O165" s="40">
        <f t="shared" si="26"/>
        <v>0</v>
      </c>
      <c r="P165" s="40"/>
      <c r="Q165" s="40">
        <f>+O165*100%</f>
        <v>0</v>
      </c>
      <c r="R165" s="40"/>
      <c r="S165" s="40"/>
      <c r="T165" s="40"/>
    </row>
    <row r="166" spans="1:21" s="15" customFormat="1" ht="12">
      <c r="A166" s="163"/>
      <c r="B166" s="35"/>
      <c r="C166" s="25"/>
      <c r="D166" s="40"/>
      <c r="E166" s="36"/>
      <c r="F166" s="90">
        <v>119.83</v>
      </c>
      <c r="G166" s="40">
        <f t="shared" si="24"/>
        <v>0</v>
      </c>
      <c r="H166" s="40"/>
      <c r="I166" s="40">
        <f>+G166*79%</f>
        <v>0</v>
      </c>
      <c r="J166" s="40">
        <f>+G166*21%</f>
        <v>0</v>
      </c>
      <c r="K166" s="40"/>
      <c r="L166" s="40"/>
      <c r="M166" s="19"/>
      <c r="N166" s="36"/>
      <c r="O166" s="40">
        <f t="shared" si="26"/>
        <v>0</v>
      </c>
      <c r="P166" s="40"/>
      <c r="Q166" s="40">
        <f>+O166*79%</f>
        <v>0</v>
      </c>
      <c r="R166" s="40">
        <f>+O166*21%</f>
        <v>0</v>
      </c>
      <c r="S166" s="40"/>
      <c r="T166" s="40"/>
    </row>
    <row r="167" spans="1:21" s="15" customFormat="1" ht="12">
      <c r="A167" s="163"/>
      <c r="B167" s="35"/>
      <c r="C167" s="25"/>
      <c r="D167" s="40"/>
      <c r="E167" s="36"/>
      <c r="F167" s="90">
        <v>190.32</v>
      </c>
      <c r="G167" s="40">
        <f t="shared" si="24"/>
        <v>0</v>
      </c>
      <c r="H167" s="40"/>
      <c r="I167" s="40">
        <f>+G167*79%</f>
        <v>0</v>
      </c>
      <c r="J167" s="40">
        <f>+G167*21%</f>
        <v>0</v>
      </c>
      <c r="K167" s="40"/>
      <c r="L167" s="40"/>
      <c r="M167" s="19"/>
      <c r="N167" s="36"/>
      <c r="O167" s="40">
        <f t="shared" si="26"/>
        <v>0</v>
      </c>
      <c r="P167" s="40"/>
      <c r="Q167" s="40">
        <f>+O167*79%</f>
        <v>0</v>
      </c>
      <c r="R167" s="40">
        <f>+O167*21%</f>
        <v>0</v>
      </c>
      <c r="S167" s="40"/>
      <c r="T167" s="40"/>
    </row>
    <row r="168" spans="1:21" s="15" customFormat="1" ht="12">
      <c r="A168" s="163"/>
      <c r="B168" s="35"/>
      <c r="C168" s="25"/>
      <c r="D168" s="40"/>
      <c r="E168" s="36"/>
      <c r="F168" s="90">
        <v>246.71</v>
      </c>
      <c r="G168" s="40">
        <f t="shared" si="24"/>
        <v>0</v>
      </c>
      <c r="H168" s="40"/>
      <c r="I168" s="40">
        <f>+G168*79%</f>
        <v>0</v>
      </c>
      <c r="J168" s="40">
        <f>+G168*21%</f>
        <v>0</v>
      </c>
      <c r="K168" s="40"/>
      <c r="L168" s="40"/>
      <c r="M168" s="19"/>
      <c r="N168" s="36"/>
      <c r="O168" s="40">
        <f t="shared" si="26"/>
        <v>0</v>
      </c>
      <c r="P168" s="40"/>
      <c r="Q168" s="40">
        <f>+O168*79%</f>
        <v>0</v>
      </c>
      <c r="R168" s="40">
        <f>+O168*21%</f>
        <v>0</v>
      </c>
      <c r="S168" s="40"/>
      <c r="T168" s="40"/>
    </row>
    <row r="169" spans="1:21" s="15" customFormat="1" ht="12">
      <c r="A169" s="163"/>
      <c r="B169" s="35"/>
      <c r="C169" s="25"/>
      <c r="D169" s="40"/>
      <c r="E169" s="36"/>
      <c r="F169" s="90">
        <v>351.56</v>
      </c>
      <c r="G169" s="40">
        <f t="shared" si="24"/>
        <v>0</v>
      </c>
      <c r="H169" s="40"/>
      <c r="I169" s="40">
        <f>+G169*79%</f>
        <v>0</v>
      </c>
      <c r="J169" s="40">
        <f>+G169*21%</f>
        <v>0</v>
      </c>
      <c r="K169" s="40"/>
      <c r="L169" s="40"/>
      <c r="M169" s="19"/>
      <c r="N169" s="36"/>
      <c r="O169" s="40">
        <f t="shared" si="26"/>
        <v>0</v>
      </c>
      <c r="P169" s="40"/>
      <c r="Q169" s="40">
        <f>+O169*79%</f>
        <v>0</v>
      </c>
      <c r="R169" s="40">
        <f>+O169*21%</f>
        <v>0</v>
      </c>
      <c r="S169" s="40"/>
      <c r="T169" s="40"/>
    </row>
    <row r="170" spans="1:21" s="15" customFormat="1" ht="12">
      <c r="A170" s="163"/>
      <c r="B170" s="35"/>
      <c r="C170" s="25"/>
      <c r="D170" s="40"/>
      <c r="E170" s="36"/>
      <c r="F170" s="90">
        <v>0</v>
      </c>
      <c r="G170" s="40">
        <f t="shared" si="24"/>
        <v>0</v>
      </c>
      <c r="H170" s="40"/>
      <c r="I170" s="40">
        <f>+G170*69%</f>
        <v>0</v>
      </c>
      <c r="J170" s="40">
        <f>+G170*31%</f>
        <v>0</v>
      </c>
      <c r="K170" s="40"/>
      <c r="L170" s="40"/>
      <c r="M170" s="19"/>
      <c r="N170" s="36"/>
      <c r="O170" s="40">
        <f t="shared" si="26"/>
        <v>0</v>
      </c>
      <c r="P170" s="40"/>
      <c r="Q170" s="40">
        <f>+O170*69%</f>
        <v>0</v>
      </c>
      <c r="R170" s="40">
        <f>+O170*31%</f>
        <v>0</v>
      </c>
      <c r="S170" s="40"/>
      <c r="T170" s="40"/>
      <c r="U170" s="187"/>
    </row>
    <row r="171" spans="1:21" s="15" customFormat="1" ht="12">
      <c r="A171" s="163"/>
      <c r="B171" s="35"/>
      <c r="C171" s="25"/>
      <c r="D171" s="40"/>
      <c r="E171" s="36"/>
      <c r="F171" s="90">
        <v>0</v>
      </c>
      <c r="G171" s="40">
        <f t="shared" si="24"/>
        <v>0</v>
      </c>
      <c r="H171" s="40"/>
      <c r="I171" s="40">
        <f t="shared" ref="I171:I177" si="27">+G171*79%</f>
        <v>0</v>
      </c>
      <c r="J171" s="40">
        <f t="shared" ref="J171:J177" si="28">+G171*21%</f>
        <v>0</v>
      </c>
      <c r="K171" s="40"/>
      <c r="L171" s="40"/>
      <c r="M171" s="19"/>
      <c r="N171" s="36"/>
      <c r="O171" s="40">
        <f t="shared" si="26"/>
        <v>0</v>
      </c>
      <c r="P171" s="40"/>
      <c r="Q171" s="40">
        <f t="shared" ref="Q171:Q177" si="29">+O171*79%</f>
        <v>0</v>
      </c>
      <c r="R171" s="40">
        <f t="shared" ref="R171:R177" si="30">+O171*21%</f>
        <v>0</v>
      </c>
      <c r="S171" s="40"/>
      <c r="T171" s="40"/>
      <c r="U171" s="187"/>
    </row>
    <row r="172" spans="1:21" s="15" customFormat="1" ht="12">
      <c r="A172" s="163"/>
      <c r="B172" s="35"/>
      <c r="C172" s="25"/>
      <c r="D172" s="40"/>
      <c r="E172" s="36"/>
      <c r="F172" s="90">
        <v>0</v>
      </c>
      <c r="G172" s="40">
        <f t="shared" si="24"/>
        <v>0</v>
      </c>
      <c r="H172" s="40"/>
      <c r="I172" s="40">
        <f t="shared" si="27"/>
        <v>0</v>
      </c>
      <c r="J172" s="40">
        <f t="shared" si="28"/>
        <v>0</v>
      </c>
      <c r="K172" s="40"/>
      <c r="L172" s="40"/>
      <c r="M172" s="19"/>
      <c r="N172" s="36"/>
      <c r="O172" s="40">
        <f t="shared" si="26"/>
        <v>0</v>
      </c>
      <c r="P172" s="40"/>
      <c r="Q172" s="40">
        <f t="shared" si="29"/>
        <v>0</v>
      </c>
      <c r="R172" s="40">
        <f t="shared" si="30"/>
        <v>0</v>
      </c>
      <c r="S172" s="40"/>
      <c r="T172" s="40"/>
    </row>
    <row r="173" spans="1:21" s="15" customFormat="1" ht="12">
      <c r="A173" s="163"/>
      <c r="B173" s="35"/>
      <c r="C173" s="25"/>
      <c r="D173" s="40"/>
      <c r="E173" s="36"/>
      <c r="F173" s="90">
        <v>0</v>
      </c>
      <c r="G173" s="40">
        <f t="shared" si="24"/>
        <v>0</v>
      </c>
      <c r="H173" s="40"/>
      <c r="I173" s="40">
        <f t="shared" si="27"/>
        <v>0</v>
      </c>
      <c r="J173" s="40">
        <f t="shared" si="28"/>
        <v>0</v>
      </c>
      <c r="K173" s="40"/>
      <c r="L173" s="40"/>
      <c r="M173" s="19"/>
      <c r="N173" s="36"/>
      <c r="O173" s="40">
        <f t="shared" si="26"/>
        <v>0</v>
      </c>
      <c r="P173" s="40"/>
      <c r="Q173" s="40">
        <f t="shared" si="29"/>
        <v>0</v>
      </c>
      <c r="R173" s="40">
        <f t="shared" si="30"/>
        <v>0</v>
      </c>
      <c r="S173" s="40"/>
      <c r="T173" s="40"/>
    </row>
    <row r="174" spans="1:21" s="15" customFormat="1" ht="12">
      <c r="A174" s="163"/>
      <c r="B174" s="35"/>
      <c r="C174" s="25"/>
      <c r="D174" s="40"/>
      <c r="E174" s="36"/>
      <c r="F174" s="90">
        <v>0</v>
      </c>
      <c r="G174" s="40">
        <f t="shared" si="24"/>
        <v>0</v>
      </c>
      <c r="H174" s="40"/>
      <c r="I174" s="40">
        <f t="shared" si="27"/>
        <v>0</v>
      </c>
      <c r="J174" s="40">
        <f t="shared" si="28"/>
        <v>0</v>
      </c>
      <c r="K174" s="40"/>
      <c r="L174" s="40"/>
      <c r="M174" s="19"/>
      <c r="N174" s="36"/>
      <c r="O174" s="40">
        <f t="shared" si="26"/>
        <v>0</v>
      </c>
      <c r="P174" s="40"/>
      <c r="Q174" s="40">
        <f t="shared" si="29"/>
        <v>0</v>
      </c>
      <c r="R174" s="40">
        <f t="shared" si="30"/>
        <v>0</v>
      </c>
      <c r="S174" s="40"/>
      <c r="T174" s="40"/>
    </row>
    <row r="175" spans="1:21" s="15" customFormat="1" ht="12">
      <c r="A175" s="163"/>
      <c r="B175" s="35"/>
      <c r="C175" s="25"/>
      <c r="D175" s="40"/>
      <c r="E175" s="36"/>
      <c r="F175" s="90">
        <v>0</v>
      </c>
      <c r="G175" s="40">
        <f t="shared" si="24"/>
        <v>0</v>
      </c>
      <c r="H175" s="40"/>
      <c r="I175" s="40">
        <f t="shared" si="27"/>
        <v>0</v>
      </c>
      <c r="J175" s="40">
        <f t="shared" si="28"/>
        <v>0</v>
      </c>
      <c r="K175" s="40"/>
      <c r="L175" s="40"/>
      <c r="M175" s="19"/>
      <c r="N175" s="36"/>
      <c r="O175" s="40">
        <f t="shared" si="26"/>
        <v>0</v>
      </c>
      <c r="P175" s="40"/>
      <c r="Q175" s="40">
        <f t="shared" si="29"/>
        <v>0</v>
      </c>
      <c r="R175" s="40">
        <f t="shared" si="30"/>
        <v>0</v>
      </c>
      <c r="S175" s="40"/>
      <c r="T175" s="40"/>
    </row>
    <row r="176" spans="1:21" s="15" customFormat="1" ht="12">
      <c r="A176" s="163"/>
      <c r="B176" s="35"/>
      <c r="C176" s="25"/>
      <c r="D176" s="40"/>
      <c r="E176" s="36"/>
      <c r="F176" s="90">
        <v>0</v>
      </c>
      <c r="G176" s="40">
        <f t="shared" si="24"/>
        <v>0</v>
      </c>
      <c r="H176" s="40"/>
      <c r="I176" s="40">
        <f t="shared" si="27"/>
        <v>0</v>
      </c>
      <c r="J176" s="40">
        <f t="shared" si="28"/>
        <v>0</v>
      </c>
      <c r="K176" s="40"/>
      <c r="L176" s="40"/>
      <c r="M176" s="19"/>
      <c r="N176" s="36"/>
      <c r="O176" s="40">
        <f t="shared" si="26"/>
        <v>0</v>
      </c>
      <c r="P176" s="40"/>
      <c r="Q176" s="40">
        <f t="shared" si="29"/>
        <v>0</v>
      </c>
      <c r="R176" s="40">
        <f t="shared" si="30"/>
        <v>0</v>
      </c>
      <c r="S176" s="40"/>
      <c r="T176" s="40"/>
    </row>
    <row r="177" spans="1:21" s="15" customFormat="1" ht="12">
      <c r="A177" s="163"/>
      <c r="B177" s="35"/>
      <c r="C177" s="25"/>
      <c r="D177" s="40"/>
      <c r="E177" s="36"/>
      <c r="F177" s="90">
        <v>0</v>
      </c>
      <c r="G177" s="40">
        <f t="shared" si="24"/>
        <v>0</v>
      </c>
      <c r="H177" s="40"/>
      <c r="I177" s="40">
        <f t="shared" si="27"/>
        <v>0</v>
      </c>
      <c r="J177" s="40">
        <f t="shared" si="28"/>
        <v>0</v>
      </c>
      <c r="K177" s="40"/>
      <c r="L177" s="40"/>
      <c r="M177" s="19"/>
      <c r="N177" s="36"/>
      <c r="O177" s="40">
        <f t="shared" si="26"/>
        <v>0</v>
      </c>
      <c r="P177" s="40"/>
      <c r="Q177" s="40">
        <f t="shared" si="29"/>
        <v>0</v>
      </c>
      <c r="R177" s="40">
        <f t="shared" si="30"/>
        <v>0</v>
      </c>
      <c r="S177" s="40"/>
      <c r="T177" s="40"/>
    </row>
    <row r="178" spans="1:21" s="15" customFormat="1" ht="12">
      <c r="A178" s="163"/>
      <c r="B178" s="35"/>
      <c r="C178" s="25"/>
      <c r="D178" s="40"/>
      <c r="E178" s="36"/>
      <c r="F178" s="90">
        <v>0</v>
      </c>
      <c r="G178" s="40">
        <f t="shared" si="24"/>
        <v>0</v>
      </c>
      <c r="H178" s="40"/>
      <c r="I178" s="40">
        <f t="shared" ref="I178:I191" si="31">+G178*69%</f>
        <v>0</v>
      </c>
      <c r="J178" s="40">
        <f>+G178*31%</f>
        <v>0</v>
      </c>
      <c r="K178" s="40"/>
      <c r="L178" s="40"/>
      <c r="M178" s="19"/>
      <c r="N178" s="36"/>
      <c r="O178" s="40">
        <f t="shared" si="26"/>
        <v>0</v>
      </c>
      <c r="P178" s="40"/>
      <c r="Q178" s="40">
        <f t="shared" ref="Q178:Q191" si="32">+O178*69%</f>
        <v>0</v>
      </c>
      <c r="R178" s="40">
        <f>+O178*31%</f>
        <v>0</v>
      </c>
      <c r="S178" s="40"/>
      <c r="T178" s="40"/>
    </row>
    <row r="179" spans="1:21" s="15" customFormat="1" ht="12">
      <c r="A179" s="163"/>
      <c r="B179" s="35"/>
      <c r="C179" s="25"/>
      <c r="D179" s="40"/>
      <c r="E179" s="36"/>
      <c r="F179" s="90">
        <v>0</v>
      </c>
      <c r="G179" s="40">
        <f t="shared" si="24"/>
        <v>0</v>
      </c>
      <c r="H179" s="40"/>
      <c r="I179" s="40">
        <f t="shared" si="31"/>
        <v>0</v>
      </c>
      <c r="J179" s="40">
        <f>+G179*31%</f>
        <v>0</v>
      </c>
      <c r="K179" s="40"/>
      <c r="L179" s="40"/>
      <c r="M179" s="19"/>
      <c r="N179" s="36"/>
      <c r="O179" s="40">
        <f t="shared" si="26"/>
        <v>0</v>
      </c>
      <c r="P179" s="40"/>
      <c r="Q179" s="40">
        <f t="shared" si="32"/>
        <v>0</v>
      </c>
      <c r="R179" s="40">
        <f>+O179*31%</f>
        <v>0</v>
      </c>
      <c r="S179" s="40"/>
      <c r="T179" s="40"/>
      <c r="U179" s="187"/>
    </row>
    <row r="180" spans="1:21" s="15" customFormat="1" ht="12">
      <c r="A180" s="163"/>
      <c r="B180" s="35"/>
      <c r="C180" s="25"/>
      <c r="D180" s="40"/>
      <c r="E180" s="36"/>
      <c r="F180" s="90">
        <v>0</v>
      </c>
      <c r="G180" s="40">
        <f t="shared" si="24"/>
        <v>0</v>
      </c>
      <c r="H180" s="40"/>
      <c r="I180" s="40">
        <f t="shared" si="31"/>
        <v>0</v>
      </c>
      <c r="J180" s="40">
        <f>+G180*31%</f>
        <v>0</v>
      </c>
      <c r="K180" s="40"/>
      <c r="L180" s="40"/>
      <c r="M180" s="19"/>
      <c r="N180" s="36"/>
      <c r="O180" s="40">
        <f t="shared" si="26"/>
        <v>0</v>
      </c>
      <c r="P180" s="40"/>
      <c r="Q180" s="40">
        <f t="shared" si="32"/>
        <v>0</v>
      </c>
      <c r="R180" s="40">
        <f>+O180*31%</f>
        <v>0</v>
      </c>
      <c r="S180" s="40"/>
      <c r="T180" s="40"/>
      <c r="U180" s="187"/>
    </row>
    <row r="181" spans="1:21" s="15" customFormat="1" ht="12">
      <c r="A181" s="163"/>
      <c r="B181" s="35"/>
      <c r="C181" s="25"/>
      <c r="D181" s="40"/>
      <c r="E181" s="36"/>
      <c r="F181" s="90">
        <v>0</v>
      </c>
      <c r="G181" s="40">
        <f t="shared" si="24"/>
        <v>0</v>
      </c>
      <c r="H181" s="40"/>
      <c r="I181" s="40">
        <f t="shared" si="31"/>
        <v>0</v>
      </c>
      <c r="J181" s="40">
        <f>+G181*31%</f>
        <v>0</v>
      </c>
      <c r="K181" s="40"/>
      <c r="L181" s="40"/>
      <c r="M181" s="19"/>
      <c r="N181" s="36"/>
      <c r="O181" s="40">
        <f t="shared" si="26"/>
        <v>0</v>
      </c>
      <c r="P181" s="40"/>
      <c r="Q181" s="40">
        <f t="shared" si="32"/>
        <v>0</v>
      </c>
      <c r="R181" s="40">
        <f>+O181*31%</f>
        <v>0</v>
      </c>
      <c r="S181" s="40"/>
      <c r="T181" s="40"/>
      <c r="U181" s="187"/>
    </row>
    <row r="182" spans="1:21" s="15" customFormat="1" ht="12">
      <c r="A182" s="163"/>
      <c r="B182" s="35"/>
      <c r="C182" s="25"/>
      <c r="D182" s="40"/>
      <c r="E182" s="36"/>
      <c r="F182" s="90">
        <v>0</v>
      </c>
      <c r="G182" s="40">
        <f t="shared" si="24"/>
        <v>0</v>
      </c>
      <c r="H182" s="40"/>
      <c r="I182" s="40">
        <f t="shared" si="31"/>
        <v>0</v>
      </c>
      <c r="J182" s="40">
        <f t="shared" ref="J182:J191" si="33">+G182*31%</f>
        <v>0</v>
      </c>
      <c r="K182" s="40"/>
      <c r="L182" s="40"/>
      <c r="M182" s="19"/>
      <c r="N182" s="36"/>
      <c r="O182" s="40">
        <f t="shared" si="26"/>
        <v>0</v>
      </c>
      <c r="P182" s="40"/>
      <c r="Q182" s="40">
        <f t="shared" si="32"/>
        <v>0</v>
      </c>
      <c r="R182" s="40">
        <f t="shared" ref="R182:R191" si="34">+O182*31%</f>
        <v>0</v>
      </c>
      <c r="S182" s="40"/>
      <c r="T182" s="40"/>
      <c r="U182" s="187"/>
    </row>
    <row r="183" spans="1:21" s="15" customFormat="1" ht="12">
      <c r="A183" s="163"/>
      <c r="B183" s="35"/>
      <c r="C183" s="25"/>
      <c r="D183" s="40"/>
      <c r="E183" s="36"/>
      <c r="F183" s="90">
        <v>0</v>
      </c>
      <c r="G183" s="40">
        <f t="shared" si="24"/>
        <v>0</v>
      </c>
      <c r="H183" s="40"/>
      <c r="I183" s="40">
        <f t="shared" si="31"/>
        <v>0</v>
      </c>
      <c r="J183" s="40">
        <f t="shared" si="33"/>
        <v>0</v>
      </c>
      <c r="K183" s="40"/>
      <c r="L183" s="40"/>
      <c r="M183" s="19"/>
      <c r="N183" s="36"/>
      <c r="O183" s="40">
        <f t="shared" si="26"/>
        <v>0</v>
      </c>
      <c r="P183" s="40"/>
      <c r="Q183" s="40">
        <f t="shared" si="32"/>
        <v>0</v>
      </c>
      <c r="R183" s="40">
        <f t="shared" si="34"/>
        <v>0</v>
      </c>
      <c r="S183" s="40"/>
      <c r="T183" s="40"/>
      <c r="U183" s="187"/>
    </row>
    <row r="184" spans="1:21" s="15" customFormat="1" ht="12">
      <c r="A184" s="163"/>
      <c r="B184" s="35"/>
      <c r="C184" s="25"/>
      <c r="D184" s="40"/>
      <c r="E184" s="36"/>
      <c r="F184" s="90">
        <v>0</v>
      </c>
      <c r="G184" s="40">
        <f t="shared" si="24"/>
        <v>0</v>
      </c>
      <c r="H184" s="40"/>
      <c r="I184" s="40">
        <f t="shared" si="31"/>
        <v>0</v>
      </c>
      <c r="J184" s="40">
        <f t="shared" si="33"/>
        <v>0</v>
      </c>
      <c r="K184" s="40"/>
      <c r="L184" s="40"/>
      <c r="M184" s="19"/>
      <c r="N184" s="36"/>
      <c r="O184" s="40">
        <f t="shared" si="26"/>
        <v>0</v>
      </c>
      <c r="P184" s="40"/>
      <c r="Q184" s="40">
        <f t="shared" si="32"/>
        <v>0</v>
      </c>
      <c r="R184" s="40">
        <f t="shared" si="34"/>
        <v>0</v>
      </c>
      <c r="S184" s="40"/>
      <c r="T184" s="40"/>
      <c r="U184" s="187"/>
    </row>
    <row r="185" spans="1:21" s="15" customFormat="1" ht="12">
      <c r="A185" s="163"/>
      <c r="B185" s="35"/>
      <c r="C185" s="25"/>
      <c r="D185" s="40"/>
      <c r="E185" s="36"/>
      <c r="F185" s="90">
        <v>0</v>
      </c>
      <c r="G185" s="40">
        <f t="shared" ref="G185:G244" si="35">IF(F185&lt;+D185*E185,F185,+D185*E185)</f>
        <v>0</v>
      </c>
      <c r="H185" s="40"/>
      <c r="I185" s="40">
        <f t="shared" si="31"/>
        <v>0</v>
      </c>
      <c r="J185" s="40">
        <f t="shared" si="33"/>
        <v>0</v>
      </c>
      <c r="K185" s="40"/>
      <c r="L185" s="40"/>
      <c r="M185" s="19"/>
      <c r="N185" s="36"/>
      <c r="O185" s="40">
        <f t="shared" si="26"/>
        <v>0</v>
      </c>
      <c r="P185" s="40"/>
      <c r="Q185" s="40">
        <f t="shared" si="32"/>
        <v>0</v>
      </c>
      <c r="R185" s="40">
        <f t="shared" si="34"/>
        <v>0</v>
      </c>
      <c r="S185" s="40"/>
      <c r="T185" s="40"/>
    </row>
    <row r="186" spans="1:21" s="15" customFormat="1" ht="12">
      <c r="A186" s="163"/>
      <c r="B186" s="35"/>
      <c r="C186" s="25"/>
      <c r="D186" s="40"/>
      <c r="E186" s="36"/>
      <c r="F186" s="90">
        <v>0</v>
      </c>
      <c r="G186" s="40">
        <f t="shared" si="35"/>
        <v>0</v>
      </c>
      <c r="H186" s="40"/>
      <c r="I186" s="40">
        <f t="shared" si="31"/>
        <v>0</v>
      </c>
      <c r="J186" s="40">
        <f t="shared" si="33"/>
        <v>0</v>
      </c>
      <c r="K186" s="40"/>
      <c r="L186" s="40"/>
      <c r="M186" s="19"/>
      <c r="N186" s="36"/>
      <c r="O186" s="40">
        <f t="shared" si="26"/>
        <v>0</v>
      </c>
      <c r="P186" s="40"/>
      <c r="Q186" s="40">
        <f t="shared" si="32"/>
        <v>0</v>
      </c>
      <c r="R186" s="40">
        <f t="shared" si="34"/>
        <v>0</v>
      </c>
      <c r="S186" s="40"/>
      <c r="T186" s="40"/>
    </row>
    <row r="187" spans="1:21" s="15" customFormat="1" ht="12">
      <c r="A187" s="163"/>
      <c r="B187" s="35"/>
      <c r="C187" s="25"/>
      <c r="D187" s="40"/>
      <c r="E187" s="36"/>
      <c r="F187" s="90">
        <v>0</v>
      </c>
      <c r="G187" s="40">
        <f t="shared" si="35"/>
        <v>0</v>
      </c>
      <c r="H187" s="40"/>
      <c r="I187" s="40">
        <f t="shared" si="31"/>
        <v>0</v>
      </c>
      <c r="J187" s="40">
        <f t="shared" si="33"/>
        <v>0</v>
      </c>
      <c r="K187" s="40"/>
      <c r="L187" s="40"/>
      <c r="M187" s="19"/>
      <c r="N187" s="36"/>
      <c r="O187" s="40">
        <f t="shared" si="26"/>
        <v>0</v>
      </c>
      <c r="P187" s="40"/>
      <c r="Q187" s="40">
        <f t="shared" si="32"/>
        <v>0</v>
      </c>
      <c r="R187" s="40">
        <f t="shared" si="34"/>
        <v>0</v>
      </c>
      <c r="S187" s="40"/>
      <c r="T187" s="40"/>
    </row>
    <row r="188" spans="1:21" s="15" customFormat="1" ht="12">
      <c r="A188" s="163"/>
      <c r="B188" s="35"/>
      <c r="C188" s="25"/>
      <c r="D188" s="40"/>
      <c r="E188" s="36"/>
      <c r="F188" s="90">
        <v>0</v>
      </c>
      <c r="G188" s="40">
        <f t="shared" si="35"/>
        <v>0</v>
      </c>
      <c r="H188" s="40"/>
      <c r="I188" s="40">
        <f t="shared" si="31"/>
        <v>0</v>
      </c>
      <c r="J188" s="40">
        <f t="shared" si="33"/>
        <v>0</v>
      </c>
      <c r="K188" s="40"/>
      <c r="L188" s="40"/>
      <c r="M188" s="19"/>
      <c r="N188" s="36"/>
      <c r="O188" s="40">
        <f t="shared" si="26"/>
        <v>0</v>
      </c>
      <c r="P188" s="40"/>
      <c r="Q188" s="40">
        <f t="shared" si="32"/>
        <v>0</v>
      </c>
      <c r="R188" s="40">
        <f t="shared" si="34"/>
        <v>0</v>
      </c>
      <c r="S188" s="40"/>
      <c r="T188" s="40"/>
      <c r="U188" s="187"/>
    </row>
    <row r="189" spans="1:21" s="15" customFormat="1" ht="12">
      <c r="A189" s="163"/>
      <c r="B189" s="35"/>
      <c r="C189" s="25"/>
      <c r="D189" s="40"/>
      <c r="E189" s="36"/>
      <c r="F189" s="90">
        <v>0</v>
      </c>
      <c r="G189" s="40">
        <f t="shared" si="35"/>
        <v>0</v>
      </c>
      <c r="H189" s="40"/>
      <c r="I189" s="40">
        <f t="shared" si="31"/>
        <v>0</v>
      </c>
      <c r="J189" s="40">
        <f t="shared" si="33"/>
        <v>0</v>
      </c>
      <c r="K189" s="40"/>
      <c r="L189" s="40"/>
      <c r="M189" s="19"/>
      <c r="N189" s="36"/>
      <c r="O189" s="40">
        <f t="shared" si="26"/>
        <v>0</v>
      </c>
      <c r="P189" s="40"/>
      <c r="Q189" s="40">
        <f t="shared" si="32"/>
        <v>0</v>
      </c>
      <c r="R189" s="40">
        <f t="shared" si="34"/>
        <v>0</v>
      </c>
      <c r="S189" s="40"/>
      <c r="T189" s="40"/>
      <c r="U189" s="187"/>
    </row>
    <row r="190" spans="1:21" s="15" customFormat="1" ht="12">
      <c r="A190" s="163"/>
      <c r="B190" s="35"/>
      <c r="C190" s="25"/>
      <c r="D190" s="40"/>
      <c r="E190" s="36"/>
      <c r="F190" s="90">
        <v>0</v>
      </c>
      <c r="G190" s="40">
        <f t="shared" si="35"/>
        <v>0</v>
      </c>
      <c r="H190" s="40"/>
      <c r="I190" s="40">
        <f t="shared" si="31"/>
        <v>0</v>
      </c>
      <c r="J190" s="40">
        <f t="shared" si="33"/>
        <v>0</v>
      </c>
      <c r="K190" s="40"/>
      <c r="L190" s="40"/>
      <c r="M190" s="19"/>
      <c r="N190" s="36"/>
      <c r="O190" s="40">
        <f t="shared" si="26"/>
        <v>0</v>
      </c>
      <c r="P190" s="40"/>
      <c r="Q190" s="40">
        <f t="shared" si="32"/>
        <v>0</v>
      </c>
      <c r="R190" s="40">
        <f t="shared" si="34"/>
        <v>0</v>
      </c>
      <c r="S190" s="40"/>
      <c r="T190" s="40"/>
    </row>
    <row r="191" spans="1:21" s="15" customFormat="1" ht="12">
      <c r="A191" s="163"/>
      <c r="B191" s="35"/>
      <c r="C191" s="25"/>
      <c r="D191" s="40"/>
      <c r="E191" s="36"/>
      <c r="F191" s="90">
        <v>0</v>
      </c>
      <c r="G191" s="40">
        <f t="shared" si="35"/>
        <v>0</v>
      </c>
      <c r="H191" s="40"/>
      <c r="I191" s="40">
        <f t="shared" si="31"/>
        <v>0</v>
      </c>
      <c r="J191" s="40">
        <f t="shared" si="33"/>
        <v>0</v>
      </c>
      <c r="K191" s="40"/>
      <c r="L191" s="40"/>
      <c r="M191" s="19"/>
      <c r="N191" s="36"/>
      <c r="O191" s="40">
        <f t="shared" si="26"/>
        <v>0</v>
      </c>
      <c r="P191" s="40"/>
      <c r="Q191" s="40">
        <f t="shared" si="32"/>
        <v>0</v>
      </c>
      <c r="R191" s="40">
        <f t="shared" si="34"/>
        <v>0</v>
      </c>
      <c r="S191" s="40"/>
      <c r="T191" s="40"/>
      <c r="U191" s="187"/>
    </row>
    <row r="192" spans="1:21" s="15" customFormat="1" ht="12">
      <c r="A192" s="163"/>
      <c r="B192" s="35"/>
      <c r="C192" s="25"/>
      <c r="D192" s="40"/>
      <c r="E192" s="36"/>
      <c r="F192" s="90">
        <v>0</v>
      </c>
      <c r="G192" s="40">
        <f t="shared" si="35"/>
        <v>0</v>
      </c>
      <c r="H192" s="40"/>
      <c r="I192" s="40">
        <f>+G192*61%</f>
        <v>0</v>
      </c>
      <c r="J192" s="40">
        <f>+G192*39%</f>
        <v>0</v>
      </c>
      <c r="K192" s="40"/>
      <c r="L192" s="40"/>
      <c r="M192" s="19"/>
      <c r="N192" s="36"/>
      <c r="O192" s="40">
        <f t="shared" si="26"/>
        <v>0</v>
      </c>
      <c r="P192" s="40"/>
      <c r="Q192" s="40">
        <f>+O192*61%</f>
        <v>0</v>
      </c>
      <c r="R192" s="40">
        <f>+O192*39%</f>
        <v>0</v>
      </c>
      <c r="S192" s="40"/>
      <c r="T192" s="40"/>
      <c r="U192" s="187"/>
    </row>
    <row r="193" spans="1:21" s="15" customFormat="1" ht="12">
      <c r="A193" s="163"/>
      <c r="B193" s="35"/>
      <c r="C193" s="25"/>
      <c r="D193" s="40"/>
      <c r="E193" s="36"/>
      <c r="F193" s="90">
        <v>0</v>
      </c>
      <c r="G193" s="40">
        <f t="shared" si="35"/>
        <v>0</v>
      </c>
      <c r="H193" s="40"/>
      <c r="I193" s="40">
        <f t="shared" ref="I193:I199" si="36">+G193*69%</f>
        <v>0</v>
      </c>
      <c r="J193" s="40">
        <f t="shared" ref="J193:J199" si="37">+G193*31%</f>
        <v>0</v>
      </c>
      <c r="K193" s="40"/>
      <c r="L193" s="40"/>
      <c r="M193" s="19"/>
      <c r="N193" s="36"/>
      <c r="O193" s="40">
        <f t="shared" si="26"/>
        <v>0</v>
      </c>
      <c r="P193" s="40"/>
      <c r="Q193" s="40">
        <f t="shared" ref="Q193:Q199" si="38">+O193*69%</f>
        <v>0</v>
      </c>
      <c r="R193" s="40">
        <f t="shared" ref="R193:R199" si="39">+O193*31%</f>
        <v>0</v>
      </c>
      <c r="S193" s="40"/>
      <c r="T193" s="40"/>
      <c r="U193" s="187"/>
    </row>
    <row r="194" spans="1:21" s="15" customFormat="1" ht="12">
      <c r="A194" s="163"/>
      <c r="B194" s="35"/>
      <c r="C194" s="25"/>
      <c r="D194" s="40"/>
      <c r="E194" s="36"/>
      <c r="F194" s="90">
        <v>0</v>
      </c>
      <c r="G194" s="40">
        <f t="shared" si="35"/>
        <v>0</v>
      </c>
      <c r="H194" s="40"/>
      <c r="I194" s="40">
        <f t="shared" si="36"/>
        <v>0</v>
      </c>
      <c r="J194" s="40">
        <f t="shared" si="37"/>
        <v>0</v>
      </c>
      <c r="K194" s="40"/>
      <c r="L194" s="40"/>
      <c r="M194" s="19"/>
      <c r="N194" s="36"/>
      <c r="O194" s="40">
        <f t="shared" si="26"/>
        <v>0</v>
      </c>
      <c r="P194" s="40"/>
      <c r="Q194" s="40">
        <f t="shared" si="38"/>
        <v>0</v>
      </c>
      <c r="R194" s="40">
        <f t="shared" si="39"/>
        <v>0</v>
      </c>
      <c r="S194" s="40"/>
      <c r="T194" s="40"/>
    </row>
    <row r="195" spans="1:21" s="15" customFormat="1" ht="12">
      <c r="A195" s="163"/>
      <c r="B195" s="35"/>
      <c r="C195" s="25"/>
      <c r="D195" s="40"/>
      <c r="E195" s="36"/>
      <c r="F195" s="90">
        <v>0</v>
      </c>
      <c r="G195" s="40">
        <f t="shared" si="35"/>
        <v>0</v>
      </c>
      <c r="H195" s="40"/>
      <c r="I195" s="40">
        <f t="shared" si="36"/>
        <v>0</v>
      </c>
      <c r="J195" s="40">
        <f t="shared" si="37"/>
        <v>0</v>
      </c>
      <c r="K195" s="40"/>
      <c r="L195" s="40"/>
      <c r="M195" s="19"/>
      <c r="N195" s="36"/>
      <c r="O195" s="40">
        <f t="shared" si="26"/>
        <v>0</v>
      </c>
      <c r="P195" s="40"/>
      <c r="Q195" s="40">
        <f t="shared" si="38"/>
        <v>0</v>
      </c>
      <c r="R195" s="40">
        <f t="shared" si="39"/>
        <v>0</v>
      </c>
      <c r="S195" s="40"/>
      <c r="T195" s="40"/>
    </row>
    <row r="196" spans="1:21" s="15" customFormat="1" ht="12">
      <c r="A196" s="163"/>
      <c r="B196" s="35"/>
      <c r="C196" s="25"/>
      <c r="D196" s="40"/>
      <c r="E196" s="36"/>
      <c r="F196" s="90">
        <v>0</v>
      </c>
      <c r="G196" s="40">
        <f t="shared" si="35"/>
        <v>0</v>
      </c>
      <c r="H196" s="40"/>
      <c r="I196" s="40">
        <f t="shared" si="36"/>
        <v>0</v>
      </c>
      <c r="J196" s="40">
        <f t="shared" si="37"/>
        <v>0</v>
      </c>
      <c r="K196" s="40"/>
      <c r="L196" s="40"/>
      <c r="M196" s="19"/>
      <c r="N196" s="36"/>
      <c r="O196" s="40">
        <f t="shared" si="26"/>
        <v>0</v>
      </c>
      <c r="P196" s="40"/>
      <c r="Q196" s="40">
        <f t="shared" si="38"/>
        <v>0</v>
      </c>
      <c r="R196" s="40">
        <f t="shared" si="39"/>
        <v>0</v>
      </c>
      <c r="S196" s="40"/>
      <c r="T196" s="40"/>
    </row>
    <row r="197" spans="1:21" s="15" customFormat="1" ht="12">
      <c r="A197" s="163"/>
      <c r="B197" s="35"/>
      <c r="C197" s="25"/>
      <c r="D197" s="40"/>
      <c r="E197" s="36"/>
      <c r="F197" s="90">
        <v>180.59</v>
      </c>
      <c r="G197" s="40">
        <f t="shared" si="35"/>
        <v>0</v>
      </c>
      <c r="H197" s="40"/>
      <c r="I197" s="40">
        <f t="shared" si="36"/>
        <v>0</v>
      </c>
      <c r="J197" s="40">
        <f t="shared" si="37"/>
        <v>0</v>
      </c>
      <c r="K197" s="40"/>
      <c r="L197" s="40"/>
      <c r="M197" s="19"/>
      <c r="N197" s="36"/>
      <c r="O197" s="40">
        <f t="shared" si="26"/>
        <v>0</v>
      </c>
      <c r="P197" s="40"/>
      <c r="Q197" s="40">
        <f t="shared" si="38"/>
        <v>0</v>
      </c>
      <c r="R197" s="40">
        <f t="shared" si="39"/>
        <v>0</v>
      </c>
      <c r="S197" s="40"/>
      <c r="T197" s="40"/>
    </row>
    <row r="198" spans="1:21" s="15" customFormat="1" ht="12">
      <c r="A198" s="163"/>
      <c r="B198" s="35"/>
      <c r="C198" s="25"/>
      <c r="D198" s="40"/>
      <c r="E198" s="36"/>
      <c r="F198" s="90">
        <v>330.26</v>
      </c>
      <c r="G198" s="40">
        <f t="shared" si="35"/>
        <v>0</v>
      </c>
      <c r="H198" s="40"/>
      <c r="I198" s="40">
        <f t="shared" si="36"/>
        <v>0</v>
      </c>
      <c r="J198" s="40">
        <f t="shared" si="37"/>
        <v>0</v>
      </c>
      <c r="K198" s="40"/>
      <c r="L198" s="40"/>
      <c r="M198" s="19"/>
      <c r="N198" s="36"/>
      <c r="O198" s="40">
        <f t="shared" si="26"/>
        <v>0</v>
      </c>
      <c r="P198" s="40"/>
      <c r="Q198" s="40">
        <f t="shared" si="38"/>
        <v>0</v>
      </c>
      <c r="R198" s="40">
        <f t="shared" si="39"/>
        <v>0</v>
      </c>
      <c r="S198" s="40"/>
      <c r="T198" s="40"/>
    </row>
    <row r="199" spans="1:21" s="15" customFormat="1" ht="12">
      <c r="A199" s="163"/>
      <c r="B199" s="35"/>
      <c r="C199" s="25"/>
      <c r="D199" s="164"/>
      <c r="E199" s="36"/>
      <c r="F199" s="90">
        <v>1918.58</v>
      </c>
      <c r="G199" s="40">
        <f t="shared" si="35"/>
        <v>0</v>
      </c>
      <c r="H199" s="40"/>
      <c r="I199" s="40">
        <f t="shared" si="36"/>
        <v>0</v>
      </c>
      <c r="J199" s="40">
        <f t="shared" si="37"/>
        <v>0</v>
      </c>
      <c r="K199" s="40"/>
      <c r="L199" s="40"/>
      <c r="M199" s="19"/>
      <c r="N199" s="36"/>
      <c r="O199" s="40">
        <f t="shared" si="26"/>
        <v>0</v>
      </c>
      <c r="P199" s="40"/>
      <c r="Q199" s="40">
        <f t="shared" si="38"/>
        <v>0</v>
      </c>
      <c r="R199" s="40">
        <f t="shared" si="39"/>
        <v>0</v>
      </c>
      <c r="S199" s="40"/>
      <c r="T199" s="40"/>
    </row>
    <row r="200" spans="1:21" s="15" customFormat="1" ht="12">
      <c r="A200" s="163"/>
      <c r="B200" s="35"/>
      <c r="C200" s="25"/>
      <c r="D200" s="40"/>
      <c r="E200" s="36"/>
      <c r="F200" s="90">
        <v>1252.74</v>
      </c>
      <c r="G200" s="40">
        <f t="shared" si="35"/>
        <v>0</v>
      </c>
      <c r="H200" s="40"/>
      <c r="I200" s="40"/>
      <c r="J200" s="40"/>
      <c r="K200" s="40">
        <f>+G200*100%</f>
        <v>0</v>
      </c>
      <c r="L200" s="40"/>
      <c r="M200" s="19"/>
      <c r="N200" s="36"/>
      <c r="O200" s="40">
        <f t="shared" si="26"/>
        <v>0</v>
      </c>
      <c r="P200" s="40"/>
      <c r="Q200" s="40"/>
      <c r="R200" s="40"/>
      <c r="S200" s="40">
        <f>+O200*100%</f>
        <v>0</v>
      </c>
      <c r="T200" s="40"/>
    </row>
    <row r="201" spans="1:21" s="15" customFormat="1" ht="12">
      <c r="A201" s="163"/>
      <c r="B201" s="35"/>
      <c r="C201" s="25"/>
      <c r="D201" s="40"/>
      <c r="E201" s="36"/>
      <c r="F201" s="90">
        <v>585.76</v>
      </c>
      <c r="G201" s="40">
        <f t="shared" si="35"/>
        <v>0</v>
      </c>
      <c r="H201" s="40"/>
      <c r="I201" s="40"/>
      <c r="J201" s="40"/>
      <c r="K201" s="40">
        <f>+G201*100%</f>
        <v>0</v>
      </c>
      <c r="L201" s="40"/>
      <c r="M201" s="19"/>
      <c r="N201" s="36"/>
      <c r="O201" s="40">
        <f t="shared" si="26"/>
        <v>0</v>
      </c>
      <c r="P201" s="40"/>
      <c r="Q201" s="40"/>
      <c r="R201" s="40"/>
      <c r="S201" s="40">
        <f>+O201*100%</f>
        <v>0</v>
      </c>
      <c r="T201" s="40"/>
    </row>
    <row r="202" spans="1:21" s="15" customFormat="1" ht="12">
      <c r="A202" s="163"/>
      <c r="B202" s="35"/>
      <c r="C202" s="25"/>
      <c r="D202" s="40"/>
      <c r="E202" s="36"/>
      <c r="F202" s="90">
        <v>0</v>
      </c>
      <c r="G202" s="40">
        <f t="shared" si="35"/>
        <v>0</v>
      </c>
      <c r="H202" s="40">
        <f>+G202*25%</f>
        <v>0</v>
      </c>
      <c r="I202" s="40">
        <f>+G202*46%</f>
        <v>0</v>
      </c>
      <c r="J202" s="40">
        <f>+G202*13%</f>
        <v>0</v>
      </c>
      <c r="K202" s="40">
        <f>+G202*16%</f>
        <v>0</v>
      </c>
      <c r="L202" s="40"/>
      <c r="M202" s="19"/>
      <c r="N202" s="36"/>
      <c r="O202" s="40">
        <f t="shared" si="26"/>
        <v>0</v>
      </c>
      <c r="P202" s="40">
        <f>+O202*74%</f>
        <v>0</v>
      </c>
      <c r="Q202" s="40">
        <f>+O202*46%</f>
        <v>0</v>
      </c>
      <c r="R202" s="40">
        <f>+O202*13%</f>
        <v>0</v>
      </c>
      <c r="S202" s="40">
        <f>+O202*17%</f>
        <v>0</v>
      </c>
      <c r="T202" s="40"/>
    </row>
    <row r="203" spans="1:21" s="15" customFormat="1" ht="12">
      <c r="A203" s="163"/>
      <c r="B203" s="35"/>
      <c r="C203" s="25"/>
      <c r="D203" s="164"/>
      <c r="E203" s="36"/>
      <c r="F203" s="90">
        <v>728.07</v>
      </c>
      <c r="G203" s="40">
        <f t="shared" si="35"/>
        <v>0</v>
      </c>
      <c r="H203" s="40">
        <f>+G203*100%</f>
        <v>0</v>
      </c>
      <c r="I203" s="40"/>
      <c r="J203" s="40"/>
      <c r="K203" s="40"/>
      <c r="L203" s="40"/>
      <c r="M203" s="19"/>
      <c r="N203" s="36"/>
      <c r="O203" s="40">
        <f t="shared" si="26"/>
        <v>0</v>
      </c>
      <c r="P203" s="40">
        <f>+O203*100%</f>
        <v>0</v>
      </c>
      <c r="Q203" s="40"/>
      <c r="R203" s="40"/>
      <c r="S203" s="40"/>
      <c r="T203" s="40"/>
    </row>
    <row r="204" spans="1:21" s="15" customFormat="1" ht="12">
      <c r="A204" s="163"/>
      <c r="B204" s="35"/>
      <c r="C204" s="25"/>
      <c r="D204" s="164"/>
      <c r="E204" s="36"/>
      <c r="F204" s="90">
        <v>356.5</v>
      </c>
      <c r="G204" s="40">
        <f t="shared" si="35"/>
        <v>0</v>
      </c>
      <c r="H204" s="40"/>
      <c r="I204" s="40">
        <f>G204</f>
        <v>0</v>
      </c>
      <c r="J204" s="40"/>
      <c r="K204" s="40"/>
      <c r="L204" s="40"/>
      <c r="M204" s="19"/>
      <c r="N204" s="36"/>
      <c r="O204" s="40">
        <f t="shared" si="26"/>
        <v>0</v>
      </c>
      <c r="P204" s="40"/>
      <c r="Q204" s="40"/>
      <c r="R204" s="40"/>
      <c r="S204" s="40"/>
      <c r="T204" s="40"/>
    </row>
    <row r="205" spans="1:21" s="15" customFormat="1" ht="12">
      <c r="A205" s="163"/>
      <c r="B205" s="35"/>
      <c r="C205" s="25"/>
      <c r="D205" s="164"/>
      <c r="E205" s="36"/>
      <c r="F205" s="90">
        <v>325.17</v>
      </c>
      <c r="G205" s="40">
        <f t="shared" si="35"/>
        <v>0</v>
      </c>
      <c r="H205" s="40"/>
      <c r="I205" s="40">
        <f>G205</f>
        <v>0</v>
      </c>
      <c r="J205" s="40"/>
      <c r="K205" s="40"/>
      <c r="L205" s="40"/>
      <c r="M205" s="19"/>
      <c r="N205" s="36"/>
      <c r="O205" s="40">
        <f t="shared" si="26"/>
        <v>0</v>
      </c>
      <c r="P205" s="40"/>
      <c r="Q205" s="40">
        <f>0.69*O205</f>
        <v>0</v>
      </c>
      <c r="R205" s="40">
        <f>0.31*O205</f>
        <v>0</v>
      </c>
      <c r="S205" s="40"/>
      <c r="T205" s="40"/>
    </row>
    <row r="206" spans="1:21" s="15" customFormat="1" ht="12">
      <c r="A206" s="163"/>
      <c r="B206" s="35"/>
      <c r="C206" s="25"/>
      <c r="D206" s="164"/>
      <c r="E206" s="36"/>
      <c r="F206" s="90">
        <v>407.9</v>
      </c>
      <c r="G206" s="40">
        <f t="shared" si="35"/>
        <v>0</v>
      </c>
      <c r="H206" s="40">
        <f>G206</f>
        <v>0</v>
      </c>
      <c r="I206" s="40"/>
      <c r="J206" s="40"/>
      <c r="K206" s="40"/>
      <c r="L206" s="40"/>
      <c r="M206" s="19"/>
      <c r="N206" s="36"/>
      <c r="O206" s="40">
        <f t="shared" si="26"/>
        <v>0</v>
      </c>
      <c r="P206" s="40"/>
      <c r="Q206" s="40"/>
      <c r="R206" s="40"/>
      <c r="S206" s="40"/>
      <c r="T206" s="40"/>
    </row>
    <row r="207" spans="1:21" s="15" customFormat="1" ht="12">
      <c r="A207" s="163"/>
      <c r="B207" s="35"/>
      <c r="C207" s="25"/>
      <c r="D207" s="164"/>
      <c r="E207" s="36"/>
      <c r="F207" s="90">
        <v>2486.1799999999998</v>
      </c>
      <c r="G207" s="40">
        <f t="shared" si="35"/>
        <v>0</v>
      </c>
      <c r="H207" s="40"/>
      <c r="I207" s="40">
        <f>0.69*G207</f>
        <v>0</v>
      </c>
      <c r="J207" s="40">
        <f>0.31*G207</f>
        <v>0</v>
      </c>
      <c r="K207" s="40"/>
      <c r="L207" s="40"/>
      <c r="M207" s="19"/>
      <c r="N207" s="36"/>
      <c r="O207" s="40">
        <f t="shared" si="26"/>
        <v>0</v>
      </c>
      <c r="P207" s="40"/>
      <c r="Q207" s="40">
        <f>O207*0.69</f>
        <v>0</v>
      </c>
      <c r="R207" s="40">
        <f>O207*0.31</f>
        <v>0</v>
      </c>
      <c r="S207" s="40"/>
      <c r="T207" s="40"/>
    </row>
    <row r="208" spans="1:21" s="15" customFormat="1" ht="12">
      <c r="A208" s="163"/>
      <c r="B208" s="35"/>
      <c r="C208" s="25"/>
      <c r="D208" s="164"/>
      <c r="E208" s="36"/>
      <c r="F208" s="90">
        <v>757.98</v>
      </c>
      <c r="G208" s="40">
        <f t="shared" si="35"/>
        <v>0</v>
      </c>
      <c r="H208" s="40"/>
      <c r="I208" s="40">
        <f>0.69*G208</f>
        <v>0</v>
      </c>
      <c r="J208" s="40">
        <f>0.31*G208</f>
        <v>0</v>
      </c>
      <c r="K208" s="40"/>
      <c r="L208" s="40"/>
      <c r="M208" s="19"/>
      <c r="N208" s="36"/>
      <c r="O208" s="40">
        <f t="shared" si="26"/>
        <v>0</v>
      </c>
      <c r="P208" s="40"/>
      <c r="Q208" s="40">
        <f>O208*0.69</f>
        <v>0</v>
      </c>
      <c r="R208" s="40">
        <f>O208*0.31</f>
        <v>0</v>
      </c>
      <c r="S208" s="40"/>
      <c r="T208" s="40"/>
    </row>
    <row r="209" spans="1:21" s="15" customFormat="1" ht="12">
      <c r="A209" s="163"/>
      <c r="B209" s="35"/>
      <c r="C209" s="25"/>
      <c r="D209" s="164"/>
      <c r="E209" s="36"/>
      <c r="F209" s="90">
        <v>222.08</v>
      </c>
      <c r="G209" s="40">
        <f t="shared" si="35"/>
        <v>0</v>
      </c>
      <c r="H209" s="40"/>
      <c r="I209" s="40">
        <f>0.69*G209</f>
        <v>0</v>
      </c>
      <c r="J209" s="40">
        <f>0.31*G209</f>
        <v>0</v>
      </c>
      <c r="K209" s="40"/>
      <c r="L209" s="40"/>
      <c r="M209" s="19"/>
      <c r="N209" s="36"/>
      <c r="O209" s="40">
        <f t="shared" si="26"/>
        <v>0</v>
      </c>
      <c r="P209" s="40"/>
      <c r="Q209" s="40"/>
      <c r="R209" s="40"/>
      <c r="S209" s="40"/>
      <c r="T209" s="40"/>
    </row>
    <row r="210" spans="1:21" s="15" customFormat="1" ht="12">
      <c r="A210" s="163"/>
      <c r="B210" s="35"/>
      <c r="C210" s="25"/>
      <c r="D210" s="164"/>
      <c r="E210" s="36"/>
      <c r="F210" s="90">
        <v>2340.35</v>
      </c>
      <c r="G210" s="40">
        <f t="shared" si="35"/>
        <v>0</v>
      </c>
      <c r="H210" s="40">
        <f>G210</f>
        <v>0</v>
      </c>
      <c r="I210" s="40"/>
      <c r="J210" s="40"/>
      <c r="K210" s="40"/>
      <c r="L210" s="40"/>
      <c r="M210" s="19"/>
      <c r="N210" s="36"/>
      <c r="O210" s="40">
        <f t="shared" si="26"/>
        <v>0</v>
      </c>
      <c r="P210" s="40">
        <f>O210</f>
        <v>0</v>
      </c>
      <c r="Q210" s="40"/>
      <c r="R210" s="40"/>
      <c r="S210" s="40"/>
      <c r="T210" s="40"/>
    </row>
    <row r="211" spans="1:21" s="15" customFormat="1" ht="12">
      <c r="A211" s="163"/>
      <c r="B211" s="35"/>
      <c r="C211" s="25"/>
      <c r="D211" s="164"/>
      <c r="E211" s="36"/>
      <c r="F211" s="90">
        <v>857.48</v>
      </c>
      <c r="G211" s="40">
        <f t="shared" si="35"/>
        <v>0</v>
      </c>
      <c r="H211" s="40">
        <f>G211</f>
        <v>0</v>
      </c>
      <c r="I211" s="40"/>
      <c r="J211" s="40"/>
      <c r="K211" s="40"/>
      <c r="L211" s="40"/>
      <c r="M211" s="19"/>
      <c r="N211" s="36"/>
      <c r="O211" s="40">
        <f t="shared" si="26"/>
        <v>0</v>
      </c>
      <c r="P211" s="40">
        <f>O211</f>
        <v>0</v>
      </c>
      <c r="Q211" s="40"/>
      <c r="R211" s="40"/>
      <c r="S211" s="40"/>
      <c r="T211" s="40"/>
    </row>
    <row r="212" spans="1:21" s="15" customFormat="1" ht="12">
      <c r="A212" s="163"/>
      <c r="B212" s="35"/>
      <c r="C212" s="25"/>
      <c r="D212" s="164"/>
      <c r="E212" s="36"/>
      <c r="F212" s="90">
        <v>651.1</v>
      </c>
      <c r="G212" s="40">
        <f t="shared" si="35"/>
        <v>0</v>
      </c>
      <c r="H212" s="40"/>
      <c r="I212" s="40"/>
      <c r="J212" s="40"/>
      <c r="K212" s="40">
        <f>G212</f>
        <v>0</v>
      </c>
      <c r="L212" s="40"/>
      <c r="M212" s="19"/>
      <c r="N212" s="36"/>
      <c r="O212" s="40">
        <f t="shared" si="26"/>
        <v>0</v>
      </c>
      <c r="P212" s="40"/>
      <c r="Q212" s="40"/>
      <c r="R212" s="40"/>
      <c r="S212" s="40">
        <f>O212</f>
        <v>0</v>
      </c>
      <c r="T212" s="40"/>
    </row>
    <row r="213" spans="1:21" s="15" customFormat="1" ht="12">
      <c r="A213" s="163"/>
      <c r="B213" s="35"/>
      <c r="C213" s="25"/>
      <c r="D213" s="164"/>
      <c r="E213" s="36"/>
      <c r="F213" s="90">
        <v>12783.73</v>
      </c>
      <c r="G213" s="40">
        <f t="shared" si="35"/>
        <v>0</v>
      </c>
      <c r="H213" s="40"/>
      <c r="I213" s="40">
        <f>G213</f>
        <v>0</v>
      </c>
      <c r="J213" s="40"/>
      <c r="K213" s="40"/>
      <c r="L213" s="40"/>
      <c r="M213" s="19"/>
      <c r="N213" s="36"/>
      <c r="O213" s="40">
        <f t="shared" si="26"/>
        <v>0</v>
      </c>
      <c r="P213" s="40"/>
      <c r="Q213" s="40"/>
      <c r="R213" s="40"/>
      <c r="S213" s="40"/>
      <c r="T213" s="40"/>
    </row>
    <row r="214" spans="1:21" s="15" customFormat="1" ht="12">
      <c r="A214" s="163"/>
      <c r="B214" s="35"/>
      <c r="C214" s="25"/>
      <c r="D214" s="164"/>
      <c r="E214" s="36"/>
      <c r="F214" s="90">
        <v>392.59</v>
      </c>
      <c r="G214" s="40">
        <f t="shared" si="35"/>
        <v>0</v>
      </c>
      <c r="H214" s="40">
        <f>0.5*G214</f>
        <v>0</v>
      </c>
      <c r="I214" s="40"/>
      <c r="J214" s="40"/>
      <c r="K214" s="40">
        <f>0.5*G214</f>
        <v>0</v>
      </c>
      <c r="L214" s="40"/>
      <c r="M214" s="19"/>
      <c r="N214" s="36"/>
      <c r="O214" s="40">
        <f t="shared" si="26"/>
        <v>0</v>
      </c>
      <c r="P214" s="40"/>
      <c r="Q214" s="40"/>
      <c r="R214" s="40"/>
      <c r="S214" s="40">
        <f>O214</f>
        <v>0</v>
      </c>
      <c r="T214" s="40"/>
    </row>
    <row r="215" spans="1:21" s="15" customFormat="1" ht="12">
      <c r="A215" s="163"/>
      <c r="B215" s="35"/>
      <c r="C215" s="25"/>
      <c r="D215" s="164"/>
      <c r="E215" s="36"/>
      <c r="F215" s="90">
        <v>895.69</v>
      </c>
      <c r="G215" s="40">
        <f t="shared" si="35"/>
        <v>0</v>
      </c>
      <c r="H215" s="40"/>
      <c r="I215" s="40">
        <f>0.69*G215</f>
        <v>0</v>
      </c>
      <c r="J215" s="40">
        <f>0.31*G215</f>
        <v>0</v>
      </c>
      <c r="K215" s="40"/>
      <c r="L215" s="40"/>
      <c r="M215" s="19"/>
      <c r="N215" s="36"/>
      <c r="O215" s="40">
        <f t="shared" si="26"/>
        <v>0</v>
      </c>
      <c r="P215" s="40"/>
      <c r="Q215" s="40">
        <f>O215*0.69</f>
        <v>0</v>
      </c>
      <c r="R215" s="40">
        <f>O215*0.31</f>
        <v>0</v>
      </c>
      <c r="S215" s="40"/>
      <c r="T215" s="40"/>
    </row>
    <row r="216" spans="1:21" s="15" customFormat="1" ht="12">
      <c r="A216" s="163"/>
      <c r="B216" s="35"/>
      <c r="C216" s="25"/>
      <c r="D216" s="164"/>
      <c r="E216" s="36"/>
      <c r="F216" s="90">
        <v>2099.7399999999998</v>
      </c>
      <c r="G216" s="40">
        <f t="shared" si="35"/>
        <v>0</v>
      </c>
      <c r="H216" s="40"/>
      <c r="I216" s="40">
        <f>0.69*G216</f>
        <v>0</v>
      </c>
      <c r="J216" s="40">
        <f>0.31*G216</f>
        <v>0</v>
      </c>
      <c r="K216" s="40"/>
      <c r="L216" s="40"/>
      <c r="M216" s="19"/>
      <c r="N216" s="36"/>
      <c r="O216" s="40">
        <f t="shared" si="26"/>
        <v>0</v>
      </c>
      <c r="P216" s="40"/>
      <c r="Q216" s="40">
        <f>O216*0.69</f>
        <v>0</v>
      </c>
      <c r="R216" s="40">
        <f>O216*0.31</f>
        <v>0</v>
      </c>
      <c r="S216" s="40"/>
      <c r="T216" s="40"/>
    </row>
    <row r="217" spans="1:21" s="15" customFormat="1" ht="12">
      <c r="A217" s="163"/>
      <c r="B217" s="35"/>
      <c r="C217" s="25"/>
      <c r="D217" s="164"/>
      <c r="E217" s="36"/>
      <c r="F217" s="90">
        <v>2094.83</v>
      </c>
      <c r="G217" s="40">
        <f t="shared" si="35"/>
        <v>0</v>
      </c>
      <c r="H217" s="40">
        <f>G217</f>
        <v>0</v>
      </c>
      <c r="I217" s="40"/>
      <c r="J217" s="40"/>
      <c r="K217" s="40"/>
      <c r="L217" s="40"/>
      <c r="M217" s="19"/>
      <c r="N217" s="36"/>
      <c r="O217" s="40">
        <f t="shared" si="26"/>
        <v>0</v>
      </c>
      <c r="P217" s="40"/>
      <c r="Q217" s="40"/>
      <c r="R217" s="40"/>
      <c r="S217" s="40"/>
      <c r="T217" s="40"/>
    </row>
    <row r="218" spans="1:21" s="15" customFormat="1" ht="12">
      <c r="A218" s="163"/>
      <c r="B218" s="35"/>
      <c r="C218" s="25"/>
      <c r="D218" s="164"/>
      <c r="E218" s="36"/>
      <c r="F218" s="90">
        <v>3777.68</v>
      </c>
      <c r="G218" s="40">
        <f t="shared" si="35"/>
        <v>0</v>
      </c>
      <c r="H218" s="40"/>
      <c r="I218" s="40">
        <f t="shared" ref="I218" si="40">0.69*G218</f>
        <v>0</v>
      </c>
      <c r="J218" s="40">
        <f t="shared" ref="J218" si="41">0.31*G218</f>
        <v>0</v>
      </c>
      <c r="K218" s="40"/>
      <c r="L218" s="40"/>
      <c r="M218" s="19"/>
      <c r="N218" s="36"/>
      <c r="O218" s="40">
        <f t="shared" si="26"/>
        <v>0</v>
      </c>
      <c r="P218" s="40"/>
      <c r="Q218" s="40">
        <f>O218*0.69</f>
        <v>0</v>
      </c>
      <c r="R218" s="40">
        <f>O218*0.31</f>
        <v>0</v>
      </c>
      <c r="S218" s="40"/>
      <c r="T218" s="40"/>
    </row>
    <row r="219" spans="1:21" s="15" customFormat="1" ht="12">
      <c r="A219" s="163"/>
      <c r="B219" s="35"/>
      <c r="C219" s="25"/>
      <c r="D219" s="164"/>
      <c r="E219" s="36"/>
      <c r="F219" s="90">
        <v>328.11</v>
      </c>
      <c r="G219" s="40">
        <f t="shared" si="35"/>
        <v>0</v>
      </c>
      <c r="H219" s="40"/>
      <c r="I219" s="40"/>
      <c r="J219" s="40"/>
      <c r="K219" s="40">
        <f>G219</f>
        <v>0</v>
      </c>
      <c r="L219" s="40"/>
      <c r="M219" s="19"/>
      <c r="N219" s="36"/>
      <c r="O219" s="40">
        <f t="shared" si="26"/>
        <v>0</v>
      </c>
      <c r="P219" s="40"/>
      <c r="Q219" s="40"/>
      <c r="R219" s="40"/>
      <c r="S219" s="40"/>
      <c r="T219" s="40"/>
    </row>
    <row r="220" spans="1:21" s="15" customFormat="1" ht="12">
      <c r="A220" s="163"/>
      <c r="B220" s="35"/>
      <c r="C220" s="25"/>
      <c r="D220" s="164"/>
      <c r="E220" s="36"/>
      <c r="F220" s="90">
        <v>2094.83</v>
      </c>
      <c r="G220" s="40">
        <f t="shared" si="35"/>
        <v>0</v>
      </c>
      <c r="H220" s="40">
        <f>G220</f>
        <v>0</v>
      </c>
      <c r="I220" s="40"/>
      <c r="J220" s="40"/>
      <c r="K220" s="40"/>
      <c r="L220" s="40"/>
      <c r="M220" s="19"/>
      <c r="N220" s="36"/>
      <c r="O220" s="40">
        <f t="shared" si="26"/>
        <v>0</v>
      </c>
      <c r="P220" s="40">
        <f>O220</f>
        <v>0</v>
      </c>
      <c r="Q220" s="40"/>
      <c r="R220" s="40"/>
      <c r="S220" s="40"/>
      <c r="T220" s="40"/>
    </row>
    <row r="221" spans="1:21" s="15" customFormat="1" ht="12">
      <c r="A221" s="163"/>
      <c r="B221" s="35"/>
      <c r="C221" s="25"/>
      <c r="D221" s="164"/>
      <c r="E221" s="36"/>
      <c r="F221" s="90">
        <v>604.51</v>
      </c>
      <c r="G221" s="40">
        <f t="shared" si="35"/>
        <v>0</v>
      </c>
      <c r="H221" s="40">
        <f>G221</f>
        <v>0</v>
      </c>
      <c r="I221" s="40"/>
      <c r="J221" s="40"/>
      <c r="K221" s="40"/>
      <c r="L221" s="40"/>
      <c r="M221" s="19"/>
      <c r="N221" s="36"/>
      <c r="O221" s="40">
        <f t="shared" si="26"/>
        <v>0</v>
      </c>
      <c r="P221" s="40"/>
      <c r="Q221" s="40"/>
      <c r="R221" s="40"/>
      <c r="S221" s="40"/>
      <c r="T221" s="40"/>
    </row>
    <row r="222" spans="1:21" s="15" customFormat="1" ht="12">
      <c r="A222" s="163"/>
      <c r="B222" s="35"/>
      <c r="C222" s="25"/>
      <c r="D222" s="164"/>
      <c r="E222" s="36"/>
      <c r="F222" s="90">
        <v>255.68</v>
      </c>
      <c r="G222" s="40">
        <f t="shared" si="35"/>
        <v>0</v>
      </c>
      <c r="H222" s="40"/>
      <c r="I222" s="40">
        <f>G222</f>
        <v>0</v>
      </c>
      <c r="J222" s="40"/>
      <c r="K222" s="40"/>
      <c r="L222" s="40"/>
      <c r="M222" s="19"/>
      <c r="N222" s="36"/>
      <c r="O222" s="40">
        <f t="shared" ref="O222:O244" si="42">+N222*G222</f>
        <v>0</v>
      </c>
      <c r="P222" s="40"/>
      <c r="Q222" s="40"/>
      <c r="R222" s="40"/>
      <c r="S222" s="40"/>
      <c r="T222" s="40"/>
    </row>
    <row r="223" spans="1:21" s="15" customFormat="1" ht="12">
      <c r="A223" s="163"/>
      <c r="B223" s="35"/>
      <c r="C223" s="25"/>
      <c r="D223" s="164"/>
      <c r="E223" s="36"/>
      <c r="F223" s="90">
        <v>349.08</v>
      </c>
      <c r="G223" s="40">
        <f t="shared" si="35"/>
        <v>0</v>
      </c>
      <c r="H223" s="40">
        <f>G223</f>
        <v>0</v>
      </c>
      <c r="I223" s="40"/>
      <c r="J223" s="40"/>
      <c r="K223" s="40"/>
      <c r="L223" s="40"/>
      <c r="M223" s="19"/>
      <c r="N223" s="36"/>
      <c r="O223" s="40">
        <f t="shared" si="42"/>
        <v>0</v>
      </c>
      <c r="P223" s="40"/>
      <c r="Q223" s="40"/>
      <c r="R223" s="40"/>
      <c r="S223" s="40"/>
      <c r="T223" s="40"/>
    </row>
    <row r="224" spans="1:21" s="15" customFormat="1" ht="12">
      <c r="A224" s="163"/>
      <c r="B224" s="35"/>
      <c r="C224" s="25"/>
      <c r="D224" s="164"/>
      <c r="E224" s="36"/>
      <c r="F224" s="90">
        <v>80.61</v>
      </c>
      <c r="G224" s="40">
        <f t="shared" si="35"/>
        <v>0</v>
      </c>
      <c r="H224" s="40">
        <f>G224</f>
        <v>0</v>
      </c>
      <c r="I224" s="40"/>
      <c r="J224" s="40"/>
      <c r="K224" s="40"/>
      <c r="L224" s="40"/>
      <c r="M224" s="19"/>
      <c r="N224" s="36"/>
      <c r="O224" s="40">
        <f t="shared" si="42"/>
        <v>0</v>
      </c>
      <c r="P224" s="40"/>
      <c r="Q224" s="40"/>
      <c r="R224" s="40"/>
      <c r="S224" s="40"/>
      <c r="T224" s="40"/>
    </row>
    <row r="225" spans="1:20" s="15" customFormat="1" ht="12">
      <c r="A225" s="163"/>
      <c r="B225" s="35"/>
      <c r="C225" s="25"/>
      <c r="D225" s="164"/>
      <c r="E225" s="36"/>
      <c r="F225" s="90">
        <v>209.74</v>
      </c>
      <c r="G225" s="40">
        <f t="shared" si="35"/>
        <v>0</v>
      </c>
      <c r="H225" s="40"/>
      <c r="I225" s="40"/>
      <c r="J225" s="40"/>
      <c r="K225" s="40">
        <f>G225</f>
        <v>0</v>
      </c>
      <c r="L225" s="40"/>
      <c r="M225" s="19"/>
      <c r="N225" s="36"/>
      <c r="O225" s="40">
        <f t="shared" si="42"/>
        <v>0</v>
      </c>
      <c r="P225" s="40"/>
      <c r="Q225" s="40"/>
      <c r="R225" s="40"/>
      <c r="S225" s="40"/>
      <c r="T225" s="40"/>
    </row>
    <row r="226" spans="1:20" s="15" customFormat="1" ht="12">
      <c r="A226" s="163"/>
      <c r="B226" s="35"/>
      <c r="C226" s="25"/>
      <c r="D226" s="164"/>
      <c r="E226" s="36"/>
      <c r="F226" s="90">
        <v>291.67</v>
      </c>
      <c r="G226" s="40">
        <f t="shared" si="35"/>
        <v>0</v>
      </c>
      <c r="H226" s="40"/>
      <c r="I226" s="40"/>
      <c r="J226" s="40"/>
      <c r="K226" s="40">
        <f>G226</f>
        <v>0</v>
      </c>
      <c r="L226" s="40"/>
      <c r="M226" s="19"/>
      <c r="N226" s="36"/>
      <c r="O226" s="40">
        <f t="shared" si="42"/>
        <v>0</v>
      </c>
      <c r="P226" s="40"/>
      <c r="Q226" s="40"/>
      <c r="R226" s="40"/>
      <c r="S226" s="40"/>
      <c r="T226" s="40"/>
    </row>
    <row r="227" spans="1:20" s="15" customFormat="1" ht="12">
      <c r="A227" s="163"/>
      <c r="B227" s="35"/>
      <c r="C227" s="25"/>
      <c r="D227" s="164"/>
      <c r="E227" s="36"/>
      <c r="F227" s="90"/>
      <c r="G227" s="40">
        <f t="shared" si="35"/>
        <v>0</v>
      </c>
      <c r="H227" s="40"/>
      <c r="I227" s="40">
        <f>G227*0.69</f>
        <v>0</v>
      </c>
      <c r="J227" s="40">
        <f>G227*0.31</f>
        <v>0</v>
      </c>
      <c r="K227" s="40"/>
      <c r="L227" s="40"/>
      <c r="M227" s="19"/>
      <c r="N227" s="36"/>
      <c r="O227" s="40">
        <f t="shared" si="42"/>
        <v>0</v>
      </c>
      <c r="P227" s="40"/>
      <c r="Q227" s="40"/>
      <c r="R227" s="40"/>
      <c r="S227" s="40"/>
      <c r="T227" s="40"/>
    </row>
    <row r="228" spans="1:20" s="15" customFormat="1" ht="12">
      <c r="A228" s="163"/>
      <c r="B228" s="35"/>
      <c r="C228" s="25"/>
      <c r="D228" s="164"/>
      <c r="E228" s="36"/>
      <c r="F228" s="90"/>
      <c r="G228" s="40">
        <f t="shared" si="35"/>
        <v>0</v>
      </c>
      <c r="H228" s="40">
        <f>G228</f>
        <v>0</v>
      </c>
      <c r="I228" s="40"/>
      <c r="J228" s="40"/>
      <c r="K228" s="40"/>
      <c r="L228" s="40"/>
      <c r="M228" s="19"/>
      <c r="N228" s="36"/>
      <c r="O228" s="40">
        <f t="shared" si="42"/>
        <v>0</v>
      </c>
      <c r="P228" s="40"/>
      <c r="Q228" s="40"/>
      <c r="R228" s="40"/>
      <c r="S228" s="40"/>
      <c r="T228" s="40"/>
    </row>
    <row r="229" spans="1:20" s="15" customFormat="1" ht="12">
      <c r="A229" s="163"/>
      <c r="B229" s="35"/>
      <c r="C229" s="25"/>
      <c r="D229" s="164"/>
      <c r="E229" s="36"/>
      <c r="F229" s="90"/>
      <c r="G229" s="40">
        <f t="shared" si="35"/>
        <v>0</v>
      </c>
      <c r="H229" s="40">
        <f>G229</f>
        <v>0</v>
      </c>
      <c r="I229" s="40"/>
      <c r="J229" s="40"/>
      <c r="K229" s="40"/>
      <c r="L229" s="40"/>
      <c r="M229" s="19"/>
      <c r="N229" s="36"/>
      <c r="O229" s="40">
        <f t="shared" si="42"/>
        <v>0</v>
      </c>
      <c r="P229" s="40"/>
      <c r="Q229" s="40"/>
      <c r="R229" s="40"/>
      <c r="S229" s="40"/>
      <c r="T229" s="40"/>
    </row>
    <row r="230" spans="1:20" s="15" customFormat="1" ht="12">
      <c r="A230" s="163"/>
      <c r="B230" s="35"/>
      <c r="C230" s="25"/>
      <c r="D230" s="164"/>
      <c r="E230" s="36"/>
      <c r="F230" s="90"/>
      <c r="G230" s="40">
        <f t="shared" si="35"/>
        <v>0</v>
      </c>
      <c r="H230" s="40"/>
      <c r="I230" s="40"/>
      <c r="J230" s="40"/>
      <c r="K230" s="40">
        <f>G230</f>
        <v>0</v>
      </c>
      <c r="L230" s="40"/>
      <c r="M230" s="19"/>
      <c r="N230" s="36"/>
      <c r="O230" s="40">
        <f t="shared" si="42"/>
        <v>0</v>
      </c>
      <c r="P230" s="40"/>
      <c r="Q230" s="40"/>
      <c r="R230" s="40"/>
      <c r="S230" s="40"/>
      <c r="T230" s="40"/>
    </row>
    <row r="231" spans="1:20" s="15" customFormat="1" ht="12">
      <c r="A231" s="163"/>
      <c r="B231" s="35"/>
      <c r="C231" s="25"/>
      <c r="D231" s="164"/>
      <c r="E231" s="36"/>
      <c r="F231" s="90"/>
      <c r="G231" s="40">
        <f t="shared" si="35"/>
        <v>0</v>
      </c>
      <c r="H231" s="40"/>
      <c r="I231" s="40">
        <f>G231</f>
        <v>0</v>
      </c>
      <c r="J231" s="40"/>
      <c r="K231" s="40"/>
      <c r="L231" s="40"/>
      <c r="M231" s="19"/>
      <c r="N231" s="36"/>
      <c r="O231" s="40">
        <f t="shared" si="42"/>
        <v>0</v>
      </c>
      <c r="P231" s="40"/>
      <c r="Q231" s="40">
        <f>O231</f>
        <v>0</v>
      </c>
      <c r="R231" s="40"/>
      <c r="S231" s="40"/>
      <c r="T231" s="40"/>
    </row>
    <row r="232" spans="1:20" s="15" customFormat="1" ht="12">
      <c r="A232" s="163"/>
      <c r="B232" s="35"/>
      <c r="C232" s="25"/>
      <c r="D232" s="164"/>
      <c r="E232" s="36"/>
      <c r="F232" s="90"/>
      <c r="G232" s="40">
        <f t="shared" si="35"/>
        <v>0</v>
      </c>
      <c r="H232" s="40"/>
      <c r="I232" s="40">
        <f>G232</f>
        <v>0</v>
      </c>
      <c r="J232" s="40"/>
      <c r="K232" s="40"/>
      <c r="L232" s="40"/>
      <c r="M232" s="19"/>
      <c r="N232" s="36"/>
      <c r="O232" s="40">
        <f t="shared" si="42"/>
        <v>0</v>
      </c>
      <c r="P232" s="40"/>
      <c r="Q232" s="40">
        <f>O232</f>
        <v>0</v>
      </c>
      <c r="R232" s="40"/>
      <c r="S232" s="40"/>
      <c r="T232" s="40"/>
    </row>
    <row r="233" spans="1:20" s="15" customFormat="1" ht="12">
      <c r="A233" s="163"/>
      <c r="B233" s="35"/>
      <c r="C233" s="25"/>
      <c r="D233" s="164"/>
      <c r="E233" s="36"/>
      <c r="F233" s="90"/>
      <c r="G233" s="40">
        <f t="shared" si="35"/>
        <v>0</v>
      </c>
      <c r="H233" s="40"/>
      <c r="I233" s="40">
        <f>G233*0.69</f>
        <v>0</v>
      </c>
      <c r="J233" s="40">
        <f>G233*0.31</f>
        <v>0</v>
      </c>
      <c r="K233" s="40"/>
      <c r="L233" s="40"/>
      <c r="M233" s="19"/>
      <c r="N233" s="36"/>
      <c r="O233" s="40">
        <f t="shared" si="42"/>
        <v>0</v>
      </c>
      <c r="P233" s="40"/>
      <c r="Q233" s="40"/>
      <c r="R233" s="40"/>
      <c r="S233" s="40"/>
      <c r="T233" s="40"/>
    </row>
    <row r="234" spans="1:20" s="15" customFormat="1" ht="12">
      <c r="A234" s="163"/>
      <c r="B234" s="35"/>
      <c r="C234" s="25"/>
      <c r="D234" s="164"/>
      <c r="E234" s="36"/>
      <c r="F234" s="90"/>
      <c r="G234" s="40">
        <f t="shared" si="35"/>
        <v>0</v>
      </c>
      <c r="H234" s="40"/>
      <c r="I234" s="40">
        <f>G234*0.69</f>
        <v>0</v>
      </c>
      <c r="J234" s="40">
        <f>G234*0.31</f>
        <v>0</v>
      </c>
      <c r="K234" s="40"/>
      <c r="L234" s="40"/>
      <c r="M234" s="19"/>
      <c r="N234" s="36"/>
      <c r="O234" s="40">
        <f t="shared" si="42"/>
        <v>0</v>
      </c>
      <c r="P234" s="40"/>
      <c r="Q234" s="40"/>
      <c r="R234" s="40"/>
      <c r="S234" s="40"/>
      <c r="T234" s="40"/>
    </row>
    <row r="235" spans="1:20" s="15" customFormat="1" ht="12">
      <c r="A235" s="163"/>
      <c r="B235" s="35"/>
      <c r="C235" s="25"/>
      <c r="D235" s="164"/>
      <c r="E235" s="36"/>
      <c r="F235" s="90"/>
      <c r="G235" s="40">
        <f t="shared" si="35"/>
        <v>0</v>
      </c>
      <c r="H235" s="40">
        <f>G235</f>
        <v>0</v>
      </c>
      <c r="I235" s="40"/>
      <c r="J235" s="40"/>
      <c r="K235" s="40"/>
      <c r="L235" s="40"/>
      <c r="M235" s="19"/>
      <c r="N235" s="36"/>
      <c r="O235" s="40">
        <f t="shared" si="42"/>
        <v>0</v>
      </c>
      <c r="P235" s="40"/>
      <c r="Q235" s="40"/>
      <c r="R235" s="40"/>
      <c r="S235" s="40"/>
      <c r="T235" s="40"/>
    </row>
    <row r="236" spans="1:20" s="15" customFormat="1" ht="12">
      <c r="A236" s="163"/>
      <c r="B236" s="35"/>
      <c r="C236" s="25"/>
      <c r="D236" s="164"/>
      <c r="E236" s="36"/>
      <c r="F236" s="90"/>
      <c r="G236" s="40">
        <f t="shared" si="35"/>
        <v>0</v>
      </c>
      <c r="H236" s="40">
        <f>G236</f>
        <v>0</v>
      </c>
      <c r="I236" s="40"/>
      <c r="J236" s="40"/>
      <c r="K236" s="40"/>
      <c r="L236" s="40"/>
      <c r="M236" s="19"/>
      <c r="N236" s="36"/>
      <c r="O236" s="40">
        <f t="shared" si="42"/>
        <v>0</v>
      </c>
      <c r="P236" s="40"/>
      <c r="Q236" s="40"/>
      <c r="R236" s="40"/>
      <c r="S236" s="40"/>
      <c r="T236" s="40"/>
    </row>
    <row r="237" spans="1:20" s="15" customFormat="1" ht="12">
      <c r="A237" s="163"/>
      <c r="B237" s="35"/>
      <c r="C237" s="25"/>
      <c r="D237" s="164"/>
      <c r="E237" s="36"/>
      <c r="F237" s="90"/>
      <c r="G237" s="40">
        <f t="shared" si="35"/>
        <v>0</v>
      </c>
      <c r="H237" s="40">
        <f>+G237</f>
        <v>0</v>
      </c>
      <c r="I237" s="40"/>
      <c r="J237" s="40"/>
      <c r="K237" s="40"/>
      <c r="L237" s="40"/>
      <c r="M237" s="19"/>
      <c r="N237" s="36"/>
      <c r="O237" s="40">
        <f t="shared" si="42"/>
        <v>0</v>
      </c>
      <c r="P237" s="40"/>
      <c r="Q237" s="40"/>
      <c r="R237" s="40"/>
      <c r="S237" s="40"/>
      <c r="T237" s="40"/>
    </row>
    <row r="238" spans="1:20" s="15" customFormat="1" ht="12">
      <c r="A238" s="163"/>
      <c r="B238" s="35"/>
      <c r="C238" s="25"/>
      <c r="D238" s="164"/>
      <c r="E238" s="36"/>
      <c r="F238" s="90"/>
      <c r="G238" s="40">
        <f t="shared" si="35"/>
        <v>0</v>
      </c>
      <c r="H238" s="40"/>
      <c r="I238" s="40"/>
      <c r="J238" s="40"/>
      <c r="K238" s="40">
        <f>+G238</f>
        <v>0</v>
      </c>
      <c r="L238" s="40"/>
      <c r="M238" s="19"/>
      <c r="N238" s="36"/>
      <c r="O238" s="40">
        <f t="shared" si="42"/>
        <v>0</v>
      </c>
      <c r="P238" s="40"/>
      <c r="Q238" s="40"/>
      <c r="R238" s="40"/>
      <c r="S238" s="40"/>
      <c r="T238" s="40"/>
    </row>
    <row r="239" spans="1:20" s="15" customFormat="1" ht="12">
      <c r="A239" s="163"/>
      <c r="B239" s="35"/>
      <c r="C239" s="25"/>
      <c r="D239" s="164"/>
      <c r="E239" s="36"/>
      <c r="F239" s="90"/>
      <c r="G239" s="40">
        <f t="shared" si="35"/>
        <v>0</v>
      </c>
      <c r="H239" s="40"/>
      <c r="I239" s="40">
        <f>+G239</f>
        <v>0</v>
      </c>
      <c r="J239" s="40"/>
      <c r="K239" s="40"/>
      <c r="L239" s="40"/>
      <c r="M239" s="19"/>
      <c r="N239" s="36"/>
      <c r="O239" s="40">
        <f t="shared" si="42"/>
        <v>0</v>
      </c>
      <c r="P239" s="40"/>
      <c r="Q239" s="40"/>
      <c r="R239" s="40"/>
      <c r="S239" s="40"/>
      <c r="T239" s="40"/>
    </row>
    <row r="240" spans="1:20" s="15" customFormat="1" ht="12">
      <c r="A240" s="163"/>
      <c r="B240" s="35"/>
      <c r="C240" s="25"/>
      <c r="D240" s="164"/>
      <c r="E240" s="36"/>
      <c r="F240" s="90"/>
      <c r="G240" s="40">
        <f t="shared" si="35"/>
        <v>0</v>
      </c>
      <c r="H240" s="40"/>
      <c r="I240" s="40">
        <f t="shared" ref="I240:I244" si="43">+G240*0.69</f>
        <v>0</v>
      </c>
      <c r="J240" s="40">
        <f t="shared" ref="J240:J244" si="44">+G240*0.31</f>
        <v>0</v>
      </c>
      <c r="K240" s="40"/>
      <c r="L240" s="40"/>
      <c r="M240" s="19"/>
      <c r="N240" s="36"/>
      <c r="O240" s="40">
        <f t="shared" si="42"/>
        <v>0</v>
      </c>
      <c r="P240" s="40"/>
      <c r="Q240" s="40"/>
      <c r="R240" s="40"/>
      <c r="S240" s="40"/>
      <c r="T240" s="40"/>
    </row>
    <row r="241" spans="1:20" s="15" customFormat="1" ht="12">
      <c r="A241" s="163"/>
      <c r="B241" s="35"/>
      <c r="C241" s="25"/>
      <c r="D241" s="164"/>
      <c r="E241" s="36"/>
      <c r="F241" s="90"/>
      <c r="G241" s="40">
        <f t="shared" si="35"/>
        <v>0</v>
      </c>
      <c r="H241" s="40"/>
      <c r="I241" s="40">
        <f t="shared" si="43"/>
        <v>0</v>
      </c>
      <c r="J241" s="40">
        <f t="shared" si="44"/>
        <v>0</v>
      </c>
      <c r="K241" s="40"/>
      <c r="L241" s="40"/>
      <c r="M241" s="19"/>
      <c r="N241" s="36"/>
      <c r="O241" s="40">
        <f t="shared" si="42"/>
        <v>0</v>
      </c>
      <c r="P241" s="40"/>
      <c r="Q241" s="40"/>
      <c r="R241" s="40"/>
      <c r="S241" s="40"/>
      <c r="T241" s="40"/>
    </row>
    <row r="242" spans="1:20" s="15" customFormat="1" ht="12">
      <c r="A242" s="163"/>
      <c r="B242" s="35"/>
      <c r="C242" s="25"/>
      <c r="D242" s="164"/>
      <c r="E242" s="36"/>
      <c r="F242" s="90"/>
      <c r="G242" s="40">
        <f t="shared" si="35"/>
        <v>0</v>
      </c>
      <c r="H242" s="40"/>
      <c r="I242" s="40">
        <f t="shared" si="43"/>
        <v>0</v>
      </c>
      <c r="J242" s="40">
        <f t="shared" si="44"/>
        <v>0</v>
      </c>
      <c r="K242" s="40"/>
      <c r="L242" s="40"/>
      <c r="M242" s="19"/>
      <c r="N242" s="36"/>
      <c r="O242" s="40">
        <f t="shared" si="42"/>
        <v>0</v>
      </c>
      <c r="P242" s="40"/>
      <c r="Q242" s="40"/>
      <c r="R242" s="40"/>
      <c r="S242" s="40"/>
      <c r="T242" s="40"/>
    </row>
    <row r="243" spans="1:20" s="15" customFormat="1" ht="12">
      <c r="A243" s="163"/>
      <c r="B243" s="35"/>
      <c r="C243" s="25"/>
      <c r="D243" s="164"/>
      <c r="E243" s="36"/>
      <c r="F243" s="90"/>
      <c r="G243" s="40">
        <f t="shared" si="35"/>
        <v>0</v>
      </c>
      <c r="H243" s="40"/>
      <c r="I243" s="40">
        <f t="shared" si="43"/>
        <v>0</v>
      </c>
      <c r="J243" s="40">
        <f t="shared" si="44"/>
        <v>0</v>
      </c>
      <c r="K243" s="40"/>
      <c r="L243" s="40"/>
      <c r="M243" s="19"/>
      <c r="N243" s="36"/>
      <c r="O243" s="40">
        <f t="shared" si="42"/>
        <v>0</v>
      </c>
      <c r="P243" s="40"/>
      <c r="Q243" s="40"/>
      <c r="R243" s="40"/>
      <c r="S243" s="40"/>
      <c r="T243" s="40"/>
    </row>
    <row r="244" spans="1:20" s="15" customFormat="1" ht="12">
      <c r="A244" s="163"/>
      <c r="B244" s="35"/>
      <c r="C244" s="25"/>
      <c r="D244" s="164"/>
      <c r="E244" s="36"/>
      <c r="F244" s="90"/>
      <c r="G244" s="40">
        <f t="shared" si="35"/>
        <v>0</v>
      </c>
      <c r="H244" s="40"/>
      <c r="I244" s="40">
        <f t="shared" si="43"/>
        <v>0</v>
      </c>
      <c r="J244" s="40">
        <f t="shared" si="44"/>
        <v>0</v>
      </c>
      <c r="K244" s="40"/>
      <c r="L244" s="40"/>
      <c r="M244" s="19"/>
      <c r="N244" s="36"/>
      <c r="O244" s="40">
        <f t="shared" si="42"/>
        <v>0</v>
      </c>
      <c r="P244" s="40"/>
      <c r="Q244" s="40"/>
      <c r="R244" s="40"/>
      <c r="S244" s="40"/>
      <c r="T244" s="40"/>
    </row>
    <row r="245" spans="1:20" ht="18">
      <c r="B245" s="1"/>
      <c r="E245" s="55" t="s">
        <v>287</v>
      </c>
      <c r="F245" s="20"/>
      <c r="G245" s="350">
        <f>SUM(G14:G244)</f>
        <v>0</v>
      </c>
      <c r="H245" s="350">
        <f>SUM(H14:H244)</f>
        <v>0</v>
      </c>
      <c r="I245" s="350">
        <f>SUM(I14:I244)</f>
        <v>0</v>
      </c>
      <c r="J245" s="350">
        <f>SUM(J14:J244)</f>
        <v>0</v>
      </c>
      <c r="K245" s="350">
        <f>SUM(K14:K244)</f>
        <v>0</v>
      </c>
      <c r="L245" s="350">
        <f>SUM(L14:L244)</f>
        <v>0</v>
      </c>
      <c r="N245" s="55" t="s">
        <v>288</v>
      </c>
      <c r="O245" s="350">
        <f>SUM(O14:O244)</f>
        <v>0</v>
      </c>
      <c r="P245" s="350">
        <f>SUM(P14:P244)</f>
        <v>0</v>
      </c>
      <c r="Q245" s="350">
        <f>SUM(Q14:Q244)</f>
        <v>0</v>
      </c>
      <c r="R245" s="350">
        <f>SUM(R14:R244)</f>
        <v>0</v>
      </c>
      <c r="S245" s="350">
        <f>SUM(S14:S244)</f>
        <v>0</v>
      </c>
      <c r="T245" s="350">
        <f>SUM(T14:T244)</f>
        <v>0</v>
      </c>
    </row>
    <row r="246" spans="1:20" ht="12.75">
      <c r="G246" s="152" t="s">
        <v>289</v>
      </c>
      <c r="H246" s="15" t="str">
        <f>+IF(H245=0,"SIN DATOS",+H245/(SUM($H$245:$K$245)))</f>
        <v>SIN DATOS</v>
      </c>
      <c r="I246" s="15" t="str">
        <f t="shared" ref="I246:L246" si="45">+IF(I245=0,"SIN DATOS",+I245/(SUM($H$245:$K$245)))</f>
        <v>SIN DATOS</v>
      </c>
      <c r="J246" s="15" t="str">
        <f t="shared" si="45"/>
        <v>SIN DATOS</v>
      </c>
      <c r="K246" s="15" t="str">
        <f t="shared" si="45"/>
        <v>SIN DATOS</v>
      </c>
      <c r="L246" s="15" t="str">
        <f t="shared" si="45"/>
        <v>SIN DATOS</v>
      </c>
      <c r="M246" s="153"/>
      <c r="N246" s="154"/>
      <c r="O246" s="15" t="s">
        <v>290</v>
      </c>
      <c r="P246" s="15" t="str">
        <f>+IF(P245=0,"SIN DATOS",+P245/(SUM($O$245:$T$245)))</f>
        <v>SIN DATOS</v>
      </c>
      <c r="Q246" s="15" t="str">
        <f t="shared" ref="Q246:T246" si="46">+IF(Q245=0,"SIN DATOS",+Q245/(SUM($O$245:$T$245)))</f>
        <v>SIN DATOS</v>
      </c>
      <c r="R246" s="15" t="str">
        <f t="shared" si="46"/>
        <v>SIN DATOS</v>
      </c>
      <c r="S246" s="15" t="str">
        <f t="shared" si="46"/>
        <v>SIN DATOS</v>
      </c>
      <c r="T246" s="15" t="str">
        <f t="shared" si="46"/>
        <v>SIN DATOS</v>
      </c>
    </row>
    <row r="247" spans="1:20" ht="12" customHeight="1">
      <c r="A247" s="21"/>
      <c r="B247" s="21"/>
      <c r="C247" s="22"/>
      <c r="D247" s="22"/>
      <c r="E247" s="56"/>
      <c r="F247" s="22"/>
      <c r="G247" s="23"/>
      <c r="H247" s="23"/>
      <c r="I247" s="23"/>
      <c r="J247" s="23"/>
      <c r="K247" s="23"/>
      <c r="L247" s="23"/>
      <c r="M247" s="24"/>
      <c r="N247" s="56"/>
      <c r="O247" s="22"/>
      <c r="P247" s="23"/>
      <c r="Q247" s="23"/>
      <c r="R247" s="23"/>
      <c r="S247" s="23"/>
      <c r="T247" s="23"/>
    </row>
    <row r="249" spans="1:20">
      <c r="B249" s="304"/>
      <c r="D249" s="162"/>
      <c r="F249" s="162"/>
    </row>
    <row r="250" spans="1:20">
      <c r="B250" s="304"/>
      <c r="D250" s="162"/>
      <c r="F250" s="162"/>
      <c r="G250" s="304"/>
      <c r="O250" s="304">
        <f>+O245-P245-Q245-R245-S245-T245</f>
        <v>0</v>
      </c>
    </row>
    <row r="251" spans="1:20">
      <c r="D251" s="162"/>
      <c r="F251" s="162"/>
    </row>
  </sheetData>
  <autoFilter ref="A13:T246" xr:uid="{00000000-0009-0000-0000-000008000000}"/>
  <phoneticPr fontId="0" type="noConversion"/>
  <pageMargins left="0.75" right="0.75" top="1" bottom="1.02" header="0.57999999999999996" footer="0.5"/>
  <pageSetup paperSize="9" scale="43" fitToHeight="3" orientation="portrait" r:id="rId1"/>
  <headerFooter alignWithMargins="0">
    <oddFooter>Página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7">
    <tabColor theme="6" tint="0.59999389629810485"/>
    <pageSetUpPr fitToPage="1"/>
  </sheetPr>
  <dimension ref="A1:P127"/>
  <sheetViews>
    <sheetView zoomScale="85" zoomScaleNormal="85" workbookViewId="0">
      <selection activeCell="N115" sqref="N115"/>
    </sheetView>
  </sheetViews>
  <sheetFormatPr defaultColWidth="11.42578125" defaultRowHeight="15.75" outlineLevelRow="2"/>
  <cols>
    <col min="1" max="1" width="1.7109375" customWidth="1"/>
    <col min="2" max="2" width="27.140625" customWidth="1"/>
    <col min="3" max="3" width="16.140625" customWidth="1"/>
    <col min="4" max="4" width="6" customWidth="1"/>
    <col min="5" max="5" width="16.42578125" customWidth="1"/>
    <col min="6" max="6" width="6" bestFit="1" customWidth="1"/>
    <col min="7" max="7" width="19" style="4" customWidth="1"/>
    <col min="8" max="8" width="4.7109375" style="4" customWidth="1"/>
    <col min="9" max="9" width="19" style="5" customWidth="1"/>
    <col min="10" max="10" width="5.140625" style="5" customWidth="1"/>
    <col min="11" max="11" width="19" style="5" customWidth="1"/>
    <col min="12" max="12" width="6.42578125" style="5" customWidth="1"/>
    <col min="13" max="13" width="19.42578125" customWidth="1"/>
  </cols>
  <sheetData>
    <row r="1" spans="1:16" ht="7.5" customHeight="1" outlineLevel="1">
      <c r="A1" s="31"/>
      <c r="B1" s="31"/>
      <c r="C1" s="31"/>
      <c r="D1" s="31"/>
      <c r="E1" s="31"/>
      <c r="F1" s="31"/>
      <c r="G1" s="32"/>
      <c r="H1" s="32"/>
      <c r="I1" s="33"/>
      <c r="J1" s="33"/>
      <c r="K1" s="33"/>
      <c r="L1" s="33"/>
      <c r="M1" s="31"/>
      <c r="N1" s="31"/>
    </row>
    <row r="2" spans="1:16" ht="9.75" customHeight="1" outlineLevel="1"/>
    <row r="3" spans="1:16" outlineLevel="1">
      <c r="A3" s="13" t="s">
        <v>292</v>
      </c>
    </row>
    <row r="4" spans="1:16" ht="7.5" customHeight="1" outlineLevel="1"/>
    <row r="5" spans="1:16" s="25" customFormat="1" ht="11.25" outlineLevel="1">
      <c r="B5" s="28"/>
      <c r="C5" s="29" t="s">
        <v>293</v>
      </c>
      <c r="D5" s="29" t="s">
        <v>294</v>
      </c>
      <c r="E5" s="29" t="s">
        <v>268</v>
      </c>
      <c r="F5" s="29" t="s">
        <v>294</v>
      </c>
      <c r="G5" s="29" t="s">
        <v>269</v>
      </c>
      <c r="H5" s="29" t="s">
        <v>294</v>
      </c>
      <c r="I5" s="29" t="s">
        <v>265</v>
      </c>
      <c r="J5" s="29" t="s">
        <v>294</v>
      </c>
      <c r="K5" s="29" t="s">
        <v>295</v>
      </c>
      <c r="L5" s="29" t="s">
        <v>294</v>
      </c>
      <c r="M5" s="29" t="s">
        <v>296</v>
      </c>
    </row>
    <row r="6" spans="1:16" ht="18" outlineLevel="1">
      <c r="A6" s="1"/>
      <c r="B6" s="26"/>
      <c r="C6" s="42"/>
      <c r="D6" s="155"/>
      <c r="E6" s="42"/>
      <c r="F6" s="155"/>
      <c r="G6" s="42"/>
      <c r="H6" s="155"/>
      <c r="I6" s="42"/>
      <c r="J6" s="155"/>
      <c r="K6" s="42"/>
      <c r="L6" s="155"/>
      <c r="M6" s="42">
        <f>+C6+E6+G6+I6+K6</f>
        <v>0</v>
      </c>
      <c r="O6" s="49" t="s">
        <v>297</v>
      </c>
      <c r="P6" s="290">
        <v>1.6E-2</v>
      </c>
    </row>
    <row r="7" spans="1:16" ht="18" outlineLevel="1">
      <c r="A7" s="1"/>
      <c r="B7" s="26"/>
      <c r="C7" s="42"/>
      <c r="D7" s="155"/>
      <c r="E7" s="42"/>
      <c r="F7" s="155"/>
      <c r="G7" s="42"/>
      <c r="H7" s="155"/>
      <c r="I7" s="42"/>
      <c r="J7" s="155"/>
      <c r="K7" s="42"/>
      <c r="L7" s="155"/>
      <c r="M7" s="42">
        <f t="shared" ref="M7:M10" si="0">+C7+E7+G7+I7+K7</f>
        <v>0</v>
      </c>
      <c r="O7" s="49" t="s">
        <v>298</v>
      </c>
      <c r="P7" s="290">
        <v>1.7000000000000001E-2</v>
      </c>
    </row>
    <row r="8" spans="1:16" ht="18" outlineLevel="1">
      <c r="A8" s="1"/>
      <c r="B8" s="26"/>
      <c r="C8" s="42"/>
      <c r="D8" s="155"/>
      <c r="E8" s="42"/>
      <c r="F8" s="155"/>
      <c r="G8" s="42"/>
      <c r="H8" s="155"/>
      <c r="I8" s="42"/>
      <c r="J8" s="155"/>
      <c r="K8" s="42"/>
      <c r="L8" s="155"/>
      <c r="M8" s="42">
        <f t="shared" si="0"/>
        <v>0</v>
      </c>
    </row>
    <row r="9" spans="1:16" ht="18" outlineLevel="1">
      <c r="A9" s="1"/>
      <c r="B9" s="26"/>
      <c r="C9" s="42"/>
      <c r="D9" s="155"/>
      <c r="E9" s="42"/>
      <c r="F9" s="155"/>
      <c r="G9" s="42"/>
      <c r="H9" s="155"/>
      <c r="I9" s="42"/>
      <c r="J9" s="155"/>
      <c r="K9" s="42"/>
      <c r="L9" s="155"/>
      <c r="M9" s="42">
        <f t="shared" si="0"/>
        <v>0</v>
      </c>
    </row>
    <row r="10" spans="1:16" ht="18" outlineLevel="1">
      <c r="A10" s="1"/>
      <c r="B10" s="26"/>
      <c r="C10" s="42"/>
      <c r="D10" s="155"/>
      <c r="E10" s="42"/>
      <c r="F10" s="155"/>
      <c r="G10" s="42"/>
      <c r="H10" s="155"/>
      <c r="I10" s="42"/>
      <c r="J10" s="155"/>
      <c r="K10" s="42"/>
      <c r="L10" s="155"/>
      <c r="M10" s="42">
        <f t="shared" si="0"/>
        <v>0</v>
      </c>
    </row>
    <row r="11" spans="1:16" ht="20.25" outlineLevel="1">
      <c r="A11" s="2"/>
      <c r="B11" s="225" t="s">
        <v>299</v>
      </c>
      <c r="C11" s="241">
        <f>SUM(C6:C10)</f>
        <v>0</v>
      </c>
      <c r="D11" s="241"/>
      <c r="E11" s="241">
        <f>SUM(E6:E10)</f>
        <v>0</v>
      </c>
      <c r="F11" s="171" t="e">
        <f>+E11/M11</f>
        <v>#DIV/0!</v>
      </c>
      <c r="G11" s="241">
        <f>SUM(G6:G10)</f>
        <v>0</v>
      </c>
      <c r="H11" s="171" t="e">
        <f>+G11/M11</f>
        <v>#DIV/0!</v>
      </c>
      <c r="I11" s="241">
        <f>SUM(I6:I10)</f>
        <v>0</v>
      </c>
      <c r="J11" s="241"/>
      <c r="K11" s="241">
        <f>SUM(K6:K10)</f>
        <v>0</v>
      </c>
      <c r="L11" s="241"/>
      <c r="M11" s="241">
        <f>SUM(M6:M10)</f>
        <v>0</v>
      </c>
      <c r="N11" s="25"/>
    </row>
    <row r="12" spans="1:16" ht="12.75" customHeight="1" outlineLevel="1">
      <c r="A12" s="2"/>
      <c r="B12" s="26"/>
      <c r="C12" s="225"/>
      <c r="D12" s="225"/>
      <c r="E12" s="241"/>
      <c r="F12" s="241"/>
    </row>
    <row r="13" spans="1:16" ht="7.5" customHeight="1">
      <c r="A13" s="31"/>
      <c r="B13" s="31"/>
      <c r="C13" s="31"/>
      <c r="D13" s="31"/>
      <c r="E13" s="31"/>
      <c r="F13" s="31"/>
      <c r="G13" s="32"/>
      <c r="H13" s="32"/>
      <c r="I13" s="33"/>
      <c r="J13" s="33"/>
      <c r="K13" s="33"/>
      <c r="L13" s="33"/>
      <c r="M13" s="31"/>
      <c r="N13" s="31"/>
    </row>
    <row r="14" spans="1:16" ht="9.75" customHeight="1" outlineLevel="1"/>
    <row r="15" spans="1:16" outlineLevel="1">
      <c r="A15" s="13" t="s">
        <v>300</v>
      </c>
    </row>
    <row r="16" spans="1:16" ht="7.5" customHeight="1" outlineLevel="1"/>
    <row r="17" spans="1:14" s="25" customFormat="1" ht="11.25" outlineLevel="1">
      <c r="B17" s="28"/>
      <c r="C17" s="29" t="s">
        <v>293</v>
      </c>
      <c r="D17" s="29" t="s">
        <v>294</v>
      </c>
      <c r="E17" s="29" t="s">
        <v>268</v>
      </c>
      <c r="F17" s="29" t="s">
        <v>294</v>
      </c>
      <c r="G17" s="29" t="s">
        <v>269</v>
      </c>
      <c r="H17" s="29" t="s">
        <v>294</v>
      </c>
      <c r="I17" s="29" t="s">
        <v>265</v>
      </c>
      <c r="J17" s="29" t="s">
        <v>294</v>
      </c>
      <c r="K17" s="29" t="s">
        <v>295</v>
      </c>
      <c r="L17" s="29" t="s">
        <v>294</v>
      </c>
      <c r="M17" s="29" t="s">
        <v>296</v>
      </c>
    </row>
    <row r="18" spans="1:14" ht="18" outlineLevel="1">
      <c r="A18" s="1"/>
      <c r="B18" s="26"/>
      <c r="C18" s="42"/>
      <c r="D18" s="155"/>
      <c r="E18" s="237"/>
      <c r="F18" s="155"/>
      <c r="G18" s="42"/>
      <c r="H18" s="155"/>
      <c r="I18" s="42"/>
      <c r="J18" s="155"/>
      <c r="K18" s="42"/>
      <c r="L18" s="155"/>
      <c r="M18" s="42">
        <f t="shared" ref="M18:M23" si="1">+C18+E18+G18+I18+K18</f>
        <v>0</v>
      </c>
      <c r="N18" s="25"/>
    </row>
    <row r="19" spans="1:14" ht="18" outlineLevel="1">
      <c r="A19" s="1"/>
      <c r="B19" s="26"/>
      <c r="C19" s="42"/>
      <c r="D19" s="155"/>
      <c r="E19" s="42"/>
      <c r="F19" s="155"/>
      <c r="G19" s="42"/>
      <c r="H19" s="155"/>
      <c r="I19" s="42"/>
      <c r="J19" s="155"/>
      <c r="K19" s="42"/>
      <c r="L19" s="155"/>
      <c r="M19" s="42">
        <f t="shared" si="1"/>
        <v>0</v>
      </c>
    </row>
    <row r="20" spans="1:14" ht="18" outlineLevel="1">
      <c r="A20" s="1"/>
      <c r="B20" s="26"/>
      <c r="C20" s="42"/>
      <c r="D20" s="155"/>
      <c r="E20" s="42"/>
      <c r="F20" s="155"/>
      <c r="G20" s="42"/>
      <c r="H20" s="155"/>
      <c r="I20" s="42"/>
      <c r="J20" s="155"/>
      <c r="K20" s="42"/>
      <c r="L20" s="155"/>
      <c r="M20" s="42">
        <f t="shared" si="1"/>
        <v>0</v>
      </c>
    </row>
    <row r="21" spans="1:14" ht="18" outlineLevel="1">
      <c r="A21" s="1"/>
      <c r="B21" s="26"/>
      <c r="C21" s="42"/>
      <c r="D21" s="155"/>
      <c r="E21" s="42"/>
      <c r="F21" s="155"/>
      <c r="G21" s="42"/>
      <c r="H21" s="155"/>
      <c r="I21" s="42"/>
      <c r="J21" s="155"/>
      <c r="K21" s="42"/>
      <c r="L21" s="155"/>
      <c r="M21" s="42">
        <f t="shared" si="1"/>
        <v>0</v>
      </c>
    </row>
    <row r="22" spans="1:14" ht="18" outlineLevel="1">
      <c r="A22" s="1"/>
      <c r="B22" s="26"/>
      <c r="C22" s="42"/>
      <c r="D22" s="155"/>
      <c r="E22" s="42"/>
      <c r="F22" s="155"/>
      <c r="G22" s="42"/>
      <c r="H22" s="155"/>
      <c r="I22" s="42"/>
      <c r="J22" s="155"/>
      <c r="K22" s="42"/>
      <c r="L22" s="155"/>
      <c r="M22" s="42">
        <f t="shared" si="1"/>
        <v>0</v>
      </c>
    </row>
    <row r="23" spans="1:14" ht="18" outlineLevel="1">
      <c r="A23" s="1"/>
      <c r="B23" s="26"/>
      <c r="C23" s="42"/>
      <c r="D23" s="155"/>
      <c r="E23" s="42"/>
      <c r="F23" s="155"/>
      <c r="G23" s="42"/>
      <c r="H23" s="155"/>
      <c r="I23" s="42"/>
      <c r="J23" s="155"/>
      <c r="K23" s="42"/>
      <c r="L23" s="155"/>
      <c r="M23" s="42">
        <f t="shared" si="1"/>
        <v>0</v>
      </c>
    </row>
    <row r="24" spans="1:14" ht="20.25" outlineLevel="1">
      <c r="A24" s="2"/>
      <c r="B24" s="225" t="s">
        <v>301</v>
      </c>
      <c r="C24" s="241">
        <f>SUM(C18:C23)</f>
        <v>0</v>
      </c>
      <c r="D24" s="241"/>
      <c r="E24" s="241">
        <f>SUM(E18:E23)</f>
        <v>0</v>
      </c>
      <c r="F24" s="171" t="e">
        <f>+E24/M24</f>
        <v>#DIV/0!</v>
      </c>
      <c r="G24" s="241">
        <f>SUM(G18:G23)</f>
        <v>0</v>
      </c>
      <c r="H24" s="241"/>
      <c r="I24" s="241">
        <f>SUM(I18:I23)</f>
        <v>0</v>
      </c>
      <c r="J24" s="241"/>
      <c r="K24" s="241">
        <f>SUM(K18:K23)</f>
        <v>0</v>
      </c>
      <c r="L24" s="171" t="e">
        <f>+K24/M24</f>
        <v>#DIV/0!</v>
      </c>
      <c r="M24" s="352">
        <f>SUM(M18:M23)</f>
        <v>0</v>
      </c>
      <c r="N24" s="140"/>
    </row>
    <row r="25" spans="1:14" ht="12.75" customHeight="1" outlineLevel="1">
      <c r="A25" s="2"/>
      <c r="B25" s="26"/>
      <c r="C25" s="225"/>
      <c r="D25" s="225"/>
      <c r="E25" s="241"/>
      <c r="F25" s="241"/>
    </row>
    <row r="26" spans="1:14" ht="7.5" customHeight="1" outlineLevel="1">
      <c r="A26" s="31"/>
      <c r="B26" s="31"/>
      <c r="C26" s="31"/>
      <c r="D26" s="31"/>
      <c r="E26" s="31"/>
      <c r="F26" s="31"/>
      <c r="G26" s="32"/>
      <c r="H26" s="32"/>
      <c r="I26" s="33"/>
      <c r="J26" s="33"/>
      <c r="K26" s="33"/>
      <c r="L26" s="33"/>
      <c r="M26" s="31"/>
      <c r="N26" s="31"/>
    </row>
    <row r="27" spans="1:14" ht="9" customHeight="1"/>
    <row r="28" spans="1:14" outlineLevel="1">
      <c r="A28" s="13" t="s">
        <v>302</v>
      </c>
    </row>
    <row r="29" spans="1:14" ht="6.75" customHeight="1" outlineLevel="1"/>
    <row r="30" spans="1:14" s="25" customFormat="1" outlineLevel="1">
      <c r="B30" s="28" t="s">
        <v>303</v>
      </c>
      <c r="C30" s="327" t="s">
        <v>304</v>
      </c>
      <c r="D30" s="327"/>
      <c r="E30" s="327" t="s">
        <v>305</v>
      </c>
      <c r="F30" s="327"/>
      <c r="G30" s="329" t="s">
        <v>306</v>
      </c>
      <c r="H30" s="329"/>
      <c r="I30" s="30" t="s">
        <v>307</v>
      </c>
      <c r="J30" s="5"/>
      <c r="K30" s="5"/>
      <c r="L30" s="5"/>
      <c r="M30"/>
    </row>
    <row r="31" spans="1:14" outlineLevel="1">
      <c r="B31" s="26" t="s">
        <v>308</v>
      </c>
      <c r="C31" s="328"/>
      <c r="D31" s="328"/>
      <c r="E31" s="325"/>
      <c r="F31" s="325"/>
      <c r="G31" s="330">
        <v>1</v>
      </c>
      <c r="H31" s="330"/>
      <c r="I31" s="156"/>
    </row>
    <row r="32" spans="1:14" outlineLevel="1">
      <c r="B32" s="26" t="s">
        <v>309</v>
      </c>
      <c r="C32" s="328"/>
      <c r="D32" s="328"/>
      <c r="E32" s="325"/>
      <c r="F32" s="325"/>
      <c r="G32" s="326"/>
      <c r="H32" s="326"/>
      <c r="I32" s="156">
        <f>+E32</f>
        <v>0</v>
      </c>
    </row>
    <row r="33" spans="1:14" ht="18" outlineLevel="1">
      <c r="A33" s="1"/>
      <c r="C33" s="324"/>
      <c r="D33" s="324"/>
      <c r="E33" s="324"/>
      <c r="F33" s="324"/>
      <c r="G33" s="353" t="s">
        <v>310</v>
      </c>
      <c r="H33" s="353"/>
      <c r="I33" s="346">
        <f>SUM(I31:I32)</f>
        <v>0</v>
      </c>
      <c r="J33" s="140"/>
    </row>
    <row r="34" spans="1:14" outlineLevel="1"/>
    <row r="35" spans="1:14" ht="7.5" customHeight="1" outlineLevel="1">
      <c r="A35" s="31"/>
      <c r="B35" s="31"/>
      <c r="C35" s="31"/>
      <c r="D35" s="31"/>
      <c r="E35" s="31"/>
      <c r="F35" s="31"/>
      <c r="G35" s="32"/>
      <c r="H35" s="32"/>
      <c r="I35" s="33"/>
      <c r="J35" s="33"/>
      <c r="K35" s="33"/>
      <c r="L35" s="33"/>
      <c r="M35" s="31"/>
      <c r="N35" s="31"/>
    </row>
    <row r="36" spans="1:14" ht="7.5" customHeight="1">
      <c r="I36" s="96"/>
      <c r="J36" s="96"/>
      <c r="K36" s="96"/>
      <c r="L36" s="96"/>
    </row>
    <row r="37" spans="1:14" ht="17.25" customHeight="1" outlineLevel="1">
      <c r="A37" s="13" t="s">
        <v>311</v>
      </c>
      <c r="M37" s="5"/>
    </row>
    <row r="38" spans="1:14" ht="8.25" customHeight="1" outlineLevel="1">
      <c r="M38" s="49"/>
    </row>
    <row r="39" spans="1:14" s="25" customFormat="1" ht="11.25" outlineLevel="1">
      <c r="B39" s="28" t="s">
        <v>312</v>
      </c>
      <c r="C39" s="29" t="s">
        <v>313</v>
      </c>
      <c r="D39" s="29" t="s">
        <v>294</v>
      </c>
      <c r="E39" s="29" t="s">
        <v>314</v>
      </c>
      <c r="F39" s="29" t="s">
        <v>294</v>
      </c>
      <c r="G39" s="34" t="s">
        <v>315</v>
      </c>
      <c r="H39" s="29" t="s">
        <v>294</v>
      </c>
      <c r="I39" s="30" t="s">
        <v>316</v>
      </c>
      <c r="J39" s="29" t="s">
        <v>294</v>
      </c>
      <c r="K39" s="29" t="s">
        <v>317</v>
      </c>
    </row>
    <row r="40" spans="1:14" ht="18" outlineLevel="1">
      <c r="A40" s="1"/>
      <c r="B40" s="26" t="s">
        <v>293</v>
      </c>
      <c r="C40" s="170"/>
      <c r="D40" s="155"/>
      <c r="E40" s="243"/>
      <c r="F40" s="155"/>
      <c r="G40" s="42"/>
      <c r="H40" s="42"/>
      <c r="I40" s="42">
        <f>+'Anexo Ingresos II'!F20</f>
        <v>0</v>
      </c>
      <c r="J40" s="42"/>
      <c r="K40" s="42">
        <f>+'Anexo Ingresos II'!G20</f>
        <v>0</v>
      </c>
      <c r="L40"/>
      <c r="M40" s="138"/>
    </row>
    <row r="41" spans="1:14" ht="18" outlineLevel="1">
      <c r="A41" s="1"/>
      <c r="B41" s="26" t="s">
        <v>268</v>
      </c>
      <c r="C41" s="170"/>
      <c r="D41" s="155"/>
      <c r="E41" s="42"/>
      <c r="F41" s="42"/>
      <c r="G41" s="42"/>
      <c r="H41" s="42"/>
      <c r="I41" s="42">
        <f>+'Anexo Ingresos II'!F44+('Anexo Ingresos II'!F75)/2</f>
        <v>0</v>
      </c>
      <c r="J41" s="42"/>
      <c r="K41" s="42">
        <f>+'Anexo Ingresos II'!G21</f>
        <v>0</v>
      </c>
      <c r="L41"/>
      <c r="M41" s="138"/>
    </row>
    <row r="42" spans="1:14" ht="18" outlineLevel="1">
      <c r="A42" s="1"/>
      <c r="B42" s="26" t="s">
        <v>318</v>
      </c>
      <c r="C42" s="170"/>
      <c r="D42" s="155"/>
      <c r="E42" s="42"/>
      <c r="F42" s="42"/>
      <c r="G42" s="42"/>
      <c r="H42" s="42"/>
      <c r="I42" s="237">
        <f>+C42*E42</f>
        <v>0</v>
      </c>
      <c r="J42" s="237"/>
      <c r="K42" s="237">
        <f>+G42*C42</f>
        <v>0</v>
      </c>
      <c r="L42" s="170"/>
    </row>
    <row r="43" spans="1:14" ht="18" outlineLevel="1">
      <c r="A43" s="1"/>
      <c r="B43" s="26" t="s">
        <v>269</v>
      </c>
      <c r="C43" s="170"/>
      <c r="D43" s="155"/>
      <c r="E43" s="42"/>
      <c r="F43" s="42"/>
      <c r="G43" s="42"/>
      <c r="H43" s="42"/>
      <c r="I43" s="42">
        <f>+'Anexo Ingresos II'!F109</f>
        <v>0</v>
      </c>
      <c r="J43" s="42"/>
      <c r="K43" s="42">
        <f>+'Anexo Ingresos II'!G109</f>
        <v>0</v>
      </c>
      <c r="L43"/>
    </row>
    <row r="44" spans="1:14" ht="18" outlineLevel="1">
      <c r="A44" s="1"/>
      <c r="B44" s="26" t="s">
        <v>319</v>
      </c>
      <c r="C44" s="170"/>
      <c r="D44" s="155"/>
      <c r="E44" s="42"/>
      <c r="F44" s="42"/>
      <c r="G44" s="42"/>
      <c r="H44" s="42"/>
      <c r="I44" s="237">
        <f>+C44*E44</f>
        <v>0</v>
      </c>
      <c r="J44" s="237"/>
      <c r="K44" s="237">
        <f>+G44*C44</f>
        <v>0</v>
      </c>
      <c r="L44" s="170"/>
      <c r="M44" s="138"/>
    </row>
    <row r="45" spans="1:14" ht="18" outlineLevel="1">
      <c r="A45" s="1"/>
      <c r="B45" s="26" t="s">
        <v>265</v>
      </c>
      <c r="C45" s="170"/>
      <c r="D45" s="155"/>
      <c r="E45" s="42"/>
      <c r="F45" s="42"/>
      <c r="G45" s="42"/>
      <c r="H45" s="42"/>
      <c r="I45" s="42">
        <f>(+'Anexo Ingresos II'!F75)</f>
        <v>0</v>
      </c>
      <c r="J45" s="42"/>
      <c r="K45" s="42">
        <f>+'Anexo Ingresos II'!G75</f>
        <v>0</v>
      </c>
      <c r="L45"/>
      <c r="M45" s="170"/>
      <c r="N45" s="170"/>
    </row>
    <row r="46" spans="1:14" ht="18" outlineLevel="1">
      <c r="A46" s="1"/>
      <c r="B46" s="26"/>
      <c r="E46" s="41"/>
      <c r="F46" s="41"/>
      <c r="G46" s="241" t="s">
        <v>320</v>
      </c>
      <c r="H46" s="241"/>
      <c r="I46" s="41">
        <f>SUM(I40:I45)</f>
        <v>0</v>
      </c>
      <c r="J46" s="41"/>
      <c r="K46" s="41">
        <f>SUM(K40:K45)</f>
        <v>0</v>
      </c>
      <c r="L46"/>
      <c r="M46" s="162">
        <f>+I46-I44-I42</f>
        <v>0</v>
      </c>
      <c r="N46" s="240"/>
    </row>
    <row r="47" spans="1:14" ht="18" outlineLevel="1">
      <c r="A47" s="1"/>
    </row>
    <row r="48" spans="1:14" ht="7.5" customHeight="1" outlineLevel="1">
      <c r="A48" s="31"/>
      <c r="B48" s="31"/>
      <c r="C48" s="31"/>
      <c r="D48" s="31"/>
      <c r="E48" s="31"/>
      <c r="F48" s="31"/>
      <c r="G48" s="32"/>
      <c r="H48" s="32"/>
      <c r="I48" s="33"/>
      <c r="J48" s="33"/>
      <c r="K48" s="33"/>
      <c r="L48" s="33"/>
      <c r="M48" s="31"/>
      <c r="N48" s="31"/>
    </row>
    <row r="49" spans="1:14" ht="9" customHeight="1"/>
    <row r="50" spans="1:14" ht="17.25" hidden="1" customHeight="1" outlineLevel="1">
      <c r="A50" s="13" t="s">
        <v>321</v>
      </c>
    </row>
    <row r="51" spans="1:14" ht="8.25" hidden="1" customHeight="1" outlineLevel="1">
      <c r="M51" s="49"/>
    </row>
    <row r="52" spans="1:14" s="25" customFormat="1" ht="11.25" hidden="1" outlineLevel="1">
      <c r="B52" s="28" t="s">
        <v>312</v>
      </c>
      <c r="C52" s="29" t="s">
        <v>322</v>
      </c>
      <c r="D52" s="29" t="s">
        <v>294</v>
      </c>
      <c r="E52" s="29" t="s">
        <v>323</v>
      </c>
      <c r="F52" s="29" t="s">
        <v>294</v>
      </c>
      <c r="G52" s="29" t="s">
        <v>324</v>
      </c>
      <c r="H52" s="29" t="s">
        <v>294</v>
      </c>
      <c r="I52" s="29" t="s">
        <v>325</v>
      </c>
      <c r="J52" s="29" t="s">
        <v>294</v>
      </c>
      <c r="K52" s="29" t="s">
        <v>326</v>
      </c>
      <c r="L52" s="29" t="s">
        <v>294</v>
      </c>
      <c r="M52" s="29" t="s">
        <v>296</v>
      </c>
    </row>
    <row r="53" spans="1:14" ht="18" hidden="1" outlineLevel="1">
      <c r="A53" s="1"/>
      <c r="B53" s="26" t="s">
        <v>327</v>
      </c>
      <c r="D53" s="155"/>
      <c r="E53" s="41"/>
      <c r="F53" s="155"/>
      <c r="G53" s="41"/>
      <c r="H53" s="155"/>
      <c r="I53" s="41"/>
      <c r="J53" s="155"/>
      <c r="K53" s="41"/>
      <c r="L53" s="155"/>
      <c r="M53" s="41">
        <f>SUM(C53:I53)</f>
        <v>0</v>
      </c>
    </row>
    <row r="54" spans="1:14" ht="18" hidden="1" outlineLevel="1">
      <c r="A54" s="1"/>
      <c r="B54" s="26" t="s">
        <v>328</v>
      </c>
      <c r="D54" s="155"/>
      <c r="E54" s="41"/>
      <c r="F54" s="155"/>
      <c r="G54" s="41"/>
      <c r="H54" s="155"/>
      <c r="I54" s="41"/>
      <c r="J54" s="155"/>
      <c r="K54" s="41"/>
      <c r="L54" s="155"/>
      <c r="M54" s="41">
        <f t="shared" ref="M54:M56" si="2">SUM(C54:I54)</f>
        <v>0</v>
      </c>
    </row>
    <row r="55" spans="1:14" ht="18" hidden="1" outlineLevel="1">
      <c r="A55" s="1"/>
      <c r="B55" s="26" t="s">
        <v>329</v>
      </c>
      <c r="D55" s="155"/>
      <c r="E55" s="41"/>
      <c r="F55" s="155"/>
      <c r="G55" s="41"/>
      <c r="H55" s="155"/>
      <c r="I55" s="41"/>
      <c r="J55" s="155"/>
      <c r="K55" s="41"/>
      <c r="L55" s="155"/>
      <c r="M55" s="41">
        <f t="shared" si="2"/>
        <v>0</v>
      </c>
    </row>
    <row r="56" spans="1:14" ht="18" hidden="1" outlineLevel="1">
      <c r="A56" s="1"/>
      <c r="B56" s="26" t="s">
        <v>330</v>
      </c>
      <c r="D56" s="155"/>
      <c r="E56" s="41"/>
      <c r="F56" s="155"/>
      <c r="G56" s="41"/>
      <c r="H56" s="155"/>
      <c r="I56" s="41"/>
      <c r="J56" s="155"/>
      <c r="K56" s="41"/>
      <c r="L56" s="155"/>
      <c r="M56" s="41">
        <f t="shared" si="2"/>
        <v>0</v>
      </c>
    </row>
    <row r="57" spans="1:14" ht="18" hidden="1" outlineLevel="1">
      <c r="A57" s="1"/>
      <c r="B57" s="241" t="s">
        <v>331</v>
      </c>
      <c r="C57" s="41">
        <f t="shared" ref="C57:I57" si="3">SUM(C53:C56)</f>
        <v>0</v>
      </c>
      <c r="D57" s="41"/>
      <c r="E57" s="41">
        <f t="shared" si="3"/>
        <v>0</v>
      </c>
      <c r="F57" s="41"/>
      <c r="G57" s="41">
        <f t="shared" si="3"/>
        <v>0</v>
      </c>
      <c r="H57" s="41"/>
      <c r="I57" s="41">
        <f t="shared" si="3"/>
        <v>0</v>
      </c>
      <c r="J57" s="41"/>
      <c r="K57" s="41">
        <f t="shared" ref="K57" si="4">SUM(K53:K56)</f>
        <v>0</v>
      </c>
      <c r="L57" s="41"/>
      <c r="M57" s="41">
        <f>SUM(M53:M56)</f>
        <v>0</v>
      </c>
    </row>
    <row r="58" spans="1:14" ht="12" hidden="1" customHeight="1" outlineLevel="1">
      <c r="A58" s="1"/>
    </row>
    <row r="59" spans="1:14" ht="7.5" hidden="1" customHeight="1" outlineLevel="1">
      <c r="A59" s="31"/>
      <c r="B59" s="31"/>
      <c r="C59" s="31"/>
      <c r="D59" s="31"/>
      <c r="E59" s="31"/>
      <c r="F59" s="31"/>
      <c r="G59" s="32"/>
      <c r="H59" s="32"/>
      <c r="I59" s="33"/>
      <c r="J59" s="33"/>
      <c r="K59" s="33"/>
      <c r="L59" s="33"/>
      <c r="M59" s="31"/>
      <c r="N59" s="31"/>
    </row>
    <row r="60" spans="1:14" ht="7.5" customHeight="1" collapsed="1">
      <c r="I60" s="96"/>
      <c r="J60" s="96"/>
      <c r="K60" s="96"/>
      <c r="L60" s="96"/>
    </row>
    <row r="61" spans="1:14" outlineLevel="1">
      <c r="A61" s="13" t="s">
        <v>332</v>
      </c>
      <c r="E61" s="138"/>
    </row>
    <row r="62" spans="1:14" ht="9" customHeight="1" outlineLevel="1">
      <c r="A62" s="1"/>
    </row>
    <row r="63" spans="1:14" s="25" customFormat="1" ht="11.25" outlineLevel="1">
      <c r="B63" s="28" t="s">
        <v>333</v>
      </c>
      <c r="C63" s="29" t="s">
        <v>293</v>
      </c>
      <c r="D63" s="29" t="s">
        <v>294</v>
      </c>
      <c r="E63" s="29" t="s">
        <v>268</v>
      </c>
      <c r="F63" s="29" t="s">
        <v>294</v>
      </c>
      <c r="G63" s="29" t="s">
        <v>269</v>
      </c>
      <c r="H63" s="29" t="s">
        <v>294</v>
      </c>
      <c r="I63" s="29" t="s">
        <v>265</v>
      </c>
      <c r="J63" s="29" t="s">
        <v>294</v>
      </c>
      <c r="K63" s="29" t="s">
        <v>295</v>
      </c>
      <c r="L63" s="29" t="s">
        <v>294</v>
      </c>
      <c r="M63" s="29" t="s">
        <v>296</v>
      </c>
    </row>
    <row r="64" spans="1:14" ht="18" outlineLevel="1">
      <c r="A64" s="1"/>
      <c r="B64" s="26"/>
      <c r="C64" s="40"/>
      <c r="D64" s="155"/>
      <c r="E64" s="40"/>
      <c r="F64" s="155"/>
      <c r="G64" s="40"/>
      <c r="H64" s="155"/>
      <c r="I64" s="42"/>
      <c r="J64" s="42"/>
      <c r="K64" s="42"/>
      <c r="L64" s="155"/>
      <c r="M64" s="40">
        <f t="shared" ref="M64:M69" si="5">+C64+E64+G64+I64+K64</f>
        <v>0</v>
      </c>
    </row>
    <row r="65" spans="1:14" ht="18" outlineLevel="1">
      <c r="A65" s="1"/>
      <c r="B65" s="26"/>
      <c r="C65" s="40"/>
      <c r="D65" s="155"/>
      <c r="E65" s="40"/>
      <c r="F65" s="155"/>
      <c r="G65" s="40"/>
      <c r="H65" s="155"/>
      <c r="I65" s="42"/>
      <c r="J65" s="42"/>
      <c r="K65" s="42"/>
      <c r="L65" s="155"/>
      <c r="M65" s="40">
        <f t="shared" si="5"/>
        <v>0</v>
      </c>
    </row>
    <row r="66" spans="1:14" ht="18" outlineLevel="1">
      <c r="A66" s="1"/>
      <c r="B66" s="26"/>
      <c r="C66" s="40"/>
      <c r="D66" s="155"/>
      <c r="E66" s="40"/>
      <c r="F66" s="155"/>
      <c r="G66" s="40"/>
      <c r="H66" s="155"/>
      <c r="I66" s="40"/>
      <c r="J66" s="155"/>
      <c r="K66" s="27"/>
      <c r="L66" s="155"/>
      <c r="M66" s="40">
        <f>+C66+E66+G66+I66+K66</f>
        <v>0</v>
      </c>
      <c r="N66" s="170"/>
    </row>
    <row r="67" spans="1:14" ht="18" outlineLevel="1">
      <c r="A67" s="1"/>
      <c r="B67" s="26"/>
      <c r="C67" s="40"/>
      <c r="D67" s="155"/>
      <c r="E67" s="40"/>
      <c r="F67" s="155"/>
      <c r="G67" s="40"/>
      <c r="H67" s="155"/>
      <c r="I67" s="40"/>
      <c r="J67" s="155"/>
      <c r="K67" s="42"/>
      <c r="L67" s="155"/>
      <c r="M67" s="40">
        <f>+C67+E67+G67+I67+K67</f>
        <v>0</v>
      </c>
    </row>
    <row r="68" spans="1:14" ht="18" outlineLevel="1">
      <c r="A68" s="1"/>
      <c r="B68" s="26"/>
      <c r="C68" s="40">
        <f>+$M$68*D68</f>
        <v>0</v>
      </c>
      <c r="D68" s="155"/>
      <c r="E68" s="40">
        <f>+$M$68*F68</f>
        <v>0</v>
      </c>
      <c r="F68" s="155"/>
      <c r="G68" s="40">
        <f>+$M$68*H68</f>
        <v>0</v>
      </c>
      <c r="H68" s="155"/>
      <c r="I68" s="40">
        <f>+$M$68*J68</f>
        <v>0</v>
      </c>
      <c r="J68" s="155"/>
      <c r="K68" s="42">
        <v>0</v>
      </c>
      <c r="L68" s="155"/>
      <c r="M68" s="40">
        <f>+'Anexo Gastos '!M185</f>
        <v>0</v>
      </c>
    </row>
    <row r="69" spans="1:14" ht="18" hidden="1" outlineLevel="1">
      <c r="A69" s="1"/>
      <c r="B69" s="26" t="s">
        <v>334</v>
      </c>
      <c r="C69" s="40"/>
      <c r="D69" s="155"/>
      <c r="E69" s="40"/>
      <c r="F69" s="155"/>
      <c r="G69" s="40"/>
      <c r="H69" s="155"/>
      <c r="I69" s="27"/>
      <c r="J69" s="155"/>
      <c r="K69" s="27"/>
      <c r="L69" s="155"/>
      <c r="M69" s="40">
        <f t="shared" si="5"/>
        <v>0</v>
      </c>
    </row>
    <row r="70" spans="1:14" ht="18.75" customHeight="1" outlineLevel="1">
      <c r="B70" s="354" t="s">
        <v>335</v>
      </c>
      <c r="C70" s="355">
        <f>SUM(C64:C69)</f>
        <v>0</v>
      </c>
      <c r="D70" s="355"/>
      <c r="E70" s="355">
        <f>SUM(E64:E69)</f>
        <v>0</v>
      </c>
      <c r="F70" s="355"/>
      <c r="G70" s="355">
        <f>SUM(G64:G69)</f>
        <v>0</v>
      </c>
      <c r="H70" s="355"/>
      <c r="I70" s="355">
        <f>SUM(I64:I69)</f>
        <v>0</v>
      </c>
      <c r="J70" s="355"/>
      <c r="K70" s="355">
        <f>SUM(K64:K69)</f>
        <v>0</v>
      </c>
      <c r="L70" s="355"/>
      <c r="M70" s="355">
        <f>SUM(M64:M69)</f>
        <v>0</v>
      </c>
    </row>
    <row r="71" spans="1:14" ht="18" outlineLevel="1">
      <c r="A71" s="1"/>
    </row>
    <row r="72" spans="1:14" s="25" customFormat="1" ht="11.25" outlineLevel="1">
      <c r="B72" s="28" t="s">
        <v>336</v>
      </c>
      <c r="C72" s="29" t="s">
        <v>293</v>
      </c>
      <c r="D72" s="29" t="s">
        <v>294</v>
      </c>
      <c r="E72" s="29" t="s">
        <v>268</v>
      </c>
      <c r="F72" s="29" t="s">
        <v>294</v>
      </c>
      <c r="G72" s="29" t="s">
        <v>269</v>
      </c>
      <c r="H72" s="29" t="s">
        <v>294</v>
      </c>
      <c r="I72" s="29" t="s">
        <v>265</v>
      </c>
      <c r="J72" s="29" t="s">
        <v>294</v>
      </c>
      <c r="K72" s="29" t="s">
        <v>295</v>
      </c>
      <c r="L72" s="29" t="s">
        <v>294</v>
      </c>
      <c r="M72" s="29" t="s">
        <v>296</v>
      </c>
    </row>
    <row r="73" spans="1:14" ht="16.5" customHeight="1" outlineLevel="1">
      <c r="A73" s="1"/>
      <c r="B73" s="26" t="s">
        <v>337</v>
      </c>
      <c r="C73" s="164"/>
      <c r="D73" s="284"/>
      <c r="E73" s="164"/>
      <c r="F73" s="284"/>
      <c r="G73" s="164"/>
      <c r="H73" s="284"/>
      <c r="I73" s="308"/>
      <c r="J73" s="284"/>
      <c r="K73" s="237"/>
      <c r="L73" s="284"/>
      <c r="M73" s="164">
        <f t="shared" ref="M73:M77" si="6">+C73+E73+G73+I73+K73</f>
        <v>0</v>
      </c>
    </row>
    <row r="74" spans="1:14" ht="18" outlineLevel="1">
      <c r="A74" s="1"/>
      <c r="B74" s="26" t="s">
        <v>338</v>
      </c>
      <c r="C74" s="164"/>
      <c r="D74" s="284"/>
      <c r="E74" s="164"/>
      <c r="F74" s="284"/>
      <c r="G74" s="164"/>
      <c r="H74" s="284"/>
      <c r="I74" s="308"/>
      <c r="J74" s="284"/>
      <c r="K74" s="237"/>
      <c r="L74" s="284"/>
      <c r="M74" s="164">
        <f t="shared" si="6"/>
        <v>0</v>
      </c>
      <c r="N74" s="170"/>
    </row>
    <row r="75" spans="1:14" ht="18" outlineLevel="1">
      <c r="A75" s="1"/>
      <c r="B75" s="26" t="s">
        <v>339</v>
      </c>
      <c r="C75" s="164"/>
      <c r="D75" s="284"/>
      <c r="E75" s="164"/>
      <c r="F75" s="284"/>
      <c r="G75" s="164"/>
      <c r="H75" s="284"/>
      <c r="I75" s="237"/>
      <c r="J75" s="284"/>
      <c r="K75" s="308"/>
      <c r="L75" s="284"/>
      <c r="M75" s="164">
        <f t="shared" si="6"/>
        <v>0</v>
      </c>
    </row>
    <row r="76" spans="1:14" ht="18" outlineLevel="1">
      <c r="A76" s="1"/>
      <c r="B76" s="26" t="s">
        <v>340</v>
      </c>
      <c r="C76" s="164"/>
      <c r="D76" s="284"/>
      <c r="E76" s="164"/>
      <c r="F76" s="284"/>
      <c r="G76" s="164"/>
      <c r="H76" s="284"/>
      <c r="I76" s="164"/>
      <c r="J76" s="284"/>
      <c r="K76" s="237"/>
      <c r="L76" s="284"/>
      <c r="M76" s="164">
        <f t="shared" si="6"/>
        <v>0</v>
      </c>
    </row>
    <row r="77" spans="1:14" ht="18" outlineLevel="1">
      <c r="A77" s="1"/>
      <c r="B77" s="26" t="s">
        <v>341</v>
      </c>
      <c r="C77" s="164"/>
      <c r="D77" s="284"/>
      <c r="E77" s="164"/>
      <c r="F77" s="284"/>
      <c r="G77" s="164"/>
      <c r="H77" s="284"/>
      <c r="I77" s="308"/>
      <c r="J77" s="284"/>
      <c r="K77" s="308"/>
      <c r="L77" s="284"/>
      <c r="M77" s="164">
        <f t="shared" si="6"/>
        <v>0</v>
      </c>
    </row>
    <row r="78" spans="1:14" ht="18.75" customHeight="1" outlineLevel="1">
      <c r="B78" s="354" t="s">
        <v>342</v>
      </c>
      <c r="C78" s="355">
        <f>SUM(C73:C77)</f>
        <v>0</v>
      </c>
      <c r="D78" s="355"/>
      <c r="E78" s="355">
        <f>SUM(E73:E77)</f>
        <v>0</v>
      </c>
      <c r="F78" s="355"/>
      <c r="G78" s="355">
        <f>SUM(G73:G77)</f>
        <v>0</v>
      </c>
      <c r="H78" s="355"/>
      <c r="I78" s="355">
        <f>SUM(I73:I77)</f>
        <v>0</v>
      </c>
      <c r="J78" s="355"/>
      <c r="K78" s="355">
        <f>SUM(K73:K77)</f>
        <v>0</v>
      </c>
      <c r="L78" s="355"/>
      <c r="M78" s="355">
        <f>SUM(M73:M77)</f>
        <v>0</v>
      </c>
    </row>
    <row r="79" spans="1:14" ht="11.25" customHeight="1" outlineLevel="1">
      <c r="B79" s="26"/>
      <c r="C79" s="354"/>
      <c r="D79" s="354"/>
      <c r="E79" s="355"/>
      <c r="F79" s="355"/>
      <c r="G79" s="355"/>
      <c r="H79" s="355"/>
      <c r="I79" s="355"/>
      <c r="J79" s="355"/>
      <c r="K79" s="355"/>
      <c r="L79" s="355"/>
      <c r="M79" s="355"/>
    </row>
    <row r="80" spans="1:14" ht="7.5" customHeight="1" outlineLevel="1">
      <c r="A80" s="31"/>
      <c r="B80" s="31"/>
      <c r="C80" s="31"/>
      <c r="D80" s="31"/>
      <c r="E80" s="31"/>
      <c r="F80" s="31"/>
      <c r="G80" s="32"/>
      <c r="H80" s="32"/>
      <c r="I80" s="33"/>
      <c r="J80" s="33"/>
      <c r="K80" s="33"/>
      <c r="L80" s="33"/>
      <c r="M80" s="31"/>
      <c r="N80" s="31"/>
    </row>
    <row r="81" spans="1:14" ht="9.75" customHeight="1"/>
    <row r="82" spans="1:14" ht="18" outlineLevel="1">
      <c r="A82" s="13" t="s">
        <v>343</v>
      </c>
      <c r="C82" s="3"/>
      <c r="D82" s="3"/>
    </row>
    <row r="83" spans="1:14" ht="8.25" customHeight="1" outlineLevel="1"/>
    <row r="84" spans="1:14" s="25" customFormat="1" ht="11.25" outlineLevel="1">
      <c r="B84" s="28" t="s">
        <v>344</v>
      </c>
      <c r="C84" s="29" t="s">
        <v>293</v>
      </c>
      <c r="D84" s="29" t="s">
        <v>294</v>
      </c>
      <c r="E84" s="29" t="s">
        <v>268</v>
      </c>
      <c r="F84" s="29" t="s">
        <v>294</v>
      </c>
      <c r="G84" s="29" t="s">
        <v>269</v>
      </c>
      <c r="H84" s="29" t="s">
        <v>294</v>
      </c>
      <c r="I84" s="29" t="s">
        <v>265</v>
      </c>
      <c r="J84" s="29" t="s">
        <v>294</v>
      </c>
      <c r="K84" s="29" t="s">
        <v>295</v>
      </c>
      <c r="L84" s="29" t="s">
        <v>294</v>
      </c>
      <c r="M84" s="29" t="s">
        <v>296</v>
      </c>
    </row>
    <row r="85" spans="1:14" ht="16.5" customHeight="1" outlineLevel="1">
      <c r="B85" s="26"/>
      <c r="C85" s="40"/>
      <c r="D85" s="155"/>
      <c r="E85" s="40"/>
      <c r="F85" s="155"/>
      <c r="G85" s="40"/>
      <c r="H85" s="155"/>
      <c r="I85" s="27"/>
      <c r="J85" s="155"/>
      <c r="K85" s="42"/>
      <c r="L85" s="155"/>
      <c r="M85" s="40">
        <f t="shared" ref="M85:M86" si="7">+C85+E85+G85+I85+K85</f>
        <v>0</v>
      </c>
    </row>
    <row r="86" spans="1:14" ht="16.5" customHeight="1" outlineLevel="1">
      <c r="B86" s="26"/>
      <c r="C86" s="40"/>
      <c r="D86" s="155"/>
      <c r="E86" s="40"/>
      <c r="F86" s="155"/>
      <c r="G86" s="40"/>
      <c r="H86" s="155"/>
      <c r="I86" s="27"/>
      <c r="J86" s="155"/>
      <c r="K86" s="42"/>
      <c r="L86" s="155"/>
      <c r="M86" s="40">
        <f t="shared" si="7"/>
        <v>0</v>
      </c>
    </row>
    <row r="87" spans="1:14" ht="16.5" customHeight="1" outlineLevel="1">
      <c r="B87" s="354" t="s">
        <v>345</v>
      </c>
      <c r="C87" s="355">
        <f>SUM(C85:C86)</f>
        <v>0</v>
      </c>
      <c r="D87" s="355"/>
      <c r="E87" s="355">
        <f>SUM(E85:E86)</f>
        <v>0</v>
      </c>
      <c r="F87" s="355"/>
      <c r="G87" s="355">
        <f>SUM(G85:G86)</f>
        <v>0</v>
      </c>
      <c r="H87" s="355"/>
      <c r="I87" s="355">
        <f>SUM(I85:I86)</f>
        <v>0</v>
      </c>
      <c r="J87" s="355"/>
      <c r="K87" s="355">
        <f>SUM(K85:K86)</f>
        <v>0</v>
      </c>
      <c r="L87" s="355"/>
      <c r="M87" s="355">
        <f>SUM(M85:M86)</f>
        <v>0</v>
      </c>
      <c r="N87" s="25"/>
    </row>
    <row r="88" spans="1:14" ht="9" customHeight="1" outlineLevel="1"/>
    <row r="89" spans="1:14" ht="7.5" customHeight="1" outlineLevel="1">
      <c r="A89" s="31"/>
      <c r="B89" s="31"/>
      <c r="C89" s="31"/>
      <c r="D89" s="31"/>
      <c r="E89" s="31"/>
      <c r="F89" s="31"/>
      <c r="G89" s="32"/>
      <c r="H89" s="32"/>
      <c r="I89" s="33"/>
      <c r="J89" s="33"/>
      <c r="K89" s="33"/>
      <c r="L89" s="33"/>
      <c r="M89" s="31"/>
      <c r="N89" s="31"/>
    </row>
    <row r="90" spans="1:14" ht="9.75" customHeight="1"/>
    <row r="91" spans="1:14" ht="18" outlineLevel="1">
      <c r="A91" s="13" t="s">
        <v>346</v>
      </c>
      <c r="C91" s="3"/>
      <c r="D91" s="3"/>
      <c r="N91" s="170"/>
    </row>
    <row r="92" spans="1:14" ht="8.25" hidden="1" customHeight="1" outlineLevel="2"/>
    <row r="93" spans="1:14" s="25" customFormat="1" ht="11.25" hidden="1" outlineLevel="2">
      <c r="B93" s="28" t="s">
        <v>347</v>
      </c>
      <c r="C93" s="29" t="s">
        <v>322</v>
      </c>
      <c r="D93" s="29" t="s">
        <v>294</v>
      </c>
      <c r="E93" s="29" t="s">
        <v>323</v>
      </c>
      <c r="F93" s="29" t="s">
        <v>294</v>
      </c>
      <c r="G93" s="29" t="s">
        <v>324</v>
      </c>
      <c r="H93" s="29" t="s">
        <v>294</v>
      </c>
      <c r="I93" s="29" t="s">
        <v>325</v>
      </c>
      <c r="J93" s="29" t="s">
        <v>294</v>
      </c>
      <c r="K93" s="29" t="s">
        <v>326</v>
      </c>
      <c r="L93" s="29" t="s">
        <v>294</v>
      </c>
      <c r="M93" s="29" t="s">
        <v>296</v>
      </c>
    </row>
    <row r="94" spans="1:14" ht="16.5" hidden="1" customHeight="1" outlineLevel="2">
      <c r="B94" s="26" t="s">
        <v>348</v>
      </c>
      <c r="C94" s="40"/>
      <c r="D94" s="40"/>
      <c r="E94" s="40"/>
      <c r="F94" s="40"/>
      <c r="G94" s="40"/>
      <c r="H94" s="40"/>
      <c r="I94" s="27"/>
      <c r="J94" s="27"/>
      <c r="K94" s="27"/>
      <c r="L94" s="27"/>
      <c r="M94" s="40">
        <f t="shared" ref="M94:M96" si="8">+C94+E94+G94+I94+K94</f>
        <v>0</v>
      </c>
    </row>
    <row r="95" spans="1:14" ht="16.5" hidden="1" customHeight="1" outlineLevel="2">
      <c r="B95" s="26" t="s">
        <v>349</v>
      </c>
      <c r="C95" s="40"/>
      <c r="D95" s="40"/>
      <c r="E95" s="40"/>
      <c r="F95" s="40"/>
      <c r="G95" s="40"/>
      <c r="H95" s="40"/>
      <c r="I95" s="27"/>
      <c r="J95" s="27"/>
      <c r="K95" s="27"/>
      <c r="L95" s="27"/>
      <c r="M95" s="40">
        <f t="shared" si="8"/>
        <v>0</v>
      </c>
    </row>
    <row r="96" spans="1:14" ht="16.5" hidden="1" customHeight="1" outlineLevel="2">
      <c r="B96" s="26" t="s">
        <v>350</v>
      </c>
      <c r="C96" s="40"/>
      <c r="D96" s="40"/>
      <c r="E96" s="40"/>
      <c r="F96" s="40"/>
      <c r="G96" s="40"/>
      <c r="H96" s="40"/>
      <c r="I96" s="27"/>
      <c r="J96" s="27"/>
      <c r="K96" s="27"/>
      <c r="L96" s="27"/>
      <c r="M96" s="40">
        <f t="shared" si="8"/>
        <v>0</v>
      </c>
    </row>
    <row r="97" spans="2:14" ht="16.5" hidden="1" customHeight="1" outlineLevel="2">
      <c r="B97" s="356" t="s">
        <v>351</v>
      </c>
      <c r="C97" s="355">
        <f>SUM(C94:C96)</f>
        <v>0</v>
      </c>
      <c r="D97" s="355"/>
      <c r="E97" s="355">
        <f>SUM(E94:E96)</f>
        <v>0</v>
      </c>
      <c r="F97" s="355"/>
      <c r="G97" s="355">
        <f>SUM(G94:G96)</f>
        <v>0</v>
      </c>
      <c r="H97" s="355"/>
      <c r="I97" s="355">
        <f>SUM(I94:I96)</f>
        <v>0</v>
      </c>
      <c r="J97" s="355"/>
      <c r="K97" s="355">
        <f>SUM(K94:K96)</f>
        <v>0</v>
      </c>
      <c r="L97" s="355"/>
      <c r="M97" s="355">
        <f>SUM(M94:M96)</f>
        <v>0</v>
      </c>
    </row>
    <row r="98" spans="2:14" ht="9" customHeight="1" outlineLevel="1" collapsed="1"/>
    <row r="99" spans="2:14" s="25" customFormat="1" ht="11.25" hidden="1" outlineLevel="2">
      <c r="B99" s="28" t="s">
        <v>352</v>
      </c>
      <c r="C99" s="29" t="s">
        <v>322</v>
      </c>
      <c r="D99" s="29" t="s">
        <v>294</v>
      </c>
      <c r="E99" s="29" t="s">
        <v>323</v>
      </c>
      <c r="F99" s="29" t="s">
        <v>294</v>
      </c>
      <c r="G99" s="29" t="s">
        <v>324</v>
      </c>
      <c r="H99" s="29" t="s">
        <v>294</v>
      </c>
      <c r="I99" s="29" t="s">
        <v>325</v>
      </c>
      <c r="J99" s="29" t="s">
        <v>294</v>
      </c>
      <c r="K99" s="29" t="s">
        <v>326</v>
      </c>
      <c r="L99" s="29" t="s">
        <v>294</v>
      </c>
      <c r="M99" s="29" t="s">
        <v>296</v>
      </c>
    </row>
    <row r="100" spans="2:14" ht="16.5" hidden="1" customHeight="1" outlineLevel="2">
      <c r="B100" s="26" t="s">
        <v>353</v>
      </c>
      <c r="C100" s="40"/>
      <c r="D100" s="40"/>
      <c r="E100" s="40"/>
      <c r="F100" s="40"/>
      <c r="G100" s="40"/>
      <c r="H100" s="40"/>
      <c r="I100" s="27"/>
      <c r="J100" s="27"/>
      <c r="K100" s="27"/>
      <c r="L100" s="27"/>
      <c r="M100" s="40">
        <f t="shared" ref="M100:M102" si="9">+C100+E100+G100+I100+K100</f>
        <v>0</v>
      </c>
    </row>
    <row r="101" spans="2:14" ht="16.5" hidden="1" customHeight="1" outlineLevel="2">
      <c r="B101" s="26" t="s">
        <v>354</v>
      </c>
      <c r="C101" s="40"/>
      <c r="D101" s="40"/>
      <c r="E101" s="40"/>
      <c r="F101" s="40"/>
      <c r="G101" s="40"/>
      <c r="H101" s="40"/>
      <c r="I101" s="27"/>
      <c r="J101" s="27"/>
      <c r="K101" s="27"/>
      <c r="L101" s="27"/>
      <c r="M101" s="40">
        <f t="shared" si="9"/>
        <v>0</v>
      </c>
    </row>
    <row r="102" spans="2:14" ht="16.5" hidden="1" customHeight="1" outlineLevel="2">
      <c r="B102" s="26" t="s">
        <v>355</v>
      </c>
      <c r="C102" s="40"/>
      <c r="D102" s="40"/>
      <c r="E102" s="40"/>
      <c r="F102" s="40"/>
      <c r="G102" s="40"/>
      <c r="H102" s="40"/>
      <c r="I102" s="27"/>
      <c r="J102" s="27"/>
      <c r="K102" s="27"/>
      <c r="L102" s="27"/>
      <c r="M102" s="40">
        <f t="shared" si="9"/>
        <v>0</v>
      </c>
    </row>
    <row r="103" spans="2:14" ht="16.5" hidden="1" customHeight="1" outlineLevel="2">
      <c r="B103" s="356" t="s">
        <v>356</v>
      </c>
      <c r="C103" s="355">
        <f>SUM(C100:C102)</f>
        <v>0</v>
      </c>
      <c r="D103" s="355"/>
      <c r="E103" s="355">
        <f>SUM(E100:E102)</f>
        <v>0</v>
      </c>
      <c r="F103" s="355"/>
      <c r="G103" s="355">
        <f>SUM(G100:G102)</f>
        <v>0</v>
      </c>
      <c r="H103" s="355"/>
      <c r="I103" s="355">
        <f>SUM(I100:I102)</f>
        <v>0</v>
      </c>
      <c r="J103" s="355"/>
      <c r="K103" s="355">
        <f>SUM(K100:K102)</f>
        <v>0</v>
      </c>
      <c r="L103" s="355"/>
      <c r="M103" s="355">
        <f>SUM(M100:M102)</f>
        <v>0</v>
      </c>
    </row>
    <row r="104" spans="2:14" ht="9" customHeight="1" outlineLevel="1" collapsed="1"/>
    <row r="105" spans="2:14" s="25" customFormat="1" ht="11.25" outlineLevel="2">
      <c r="B105" s="28" t="s">
        <v>357</v>
      </c>
      <c r="C105" s="29" t="s">
        <v>322</v>
      </c>
      <c r="D105" s="29" t="s">
        <v>294</v>
      </c>
      <c r="E105" s="29" t="s">
        <v>323</v>
      </c>
      <c r="F105" s="29" t="s">
        <v>294</v>
      </c>
      <c r="G105" s="29" t="s">
        <v>324</v>
      </c>
      <c r="H105" s="29" t="s">
        <v>294</v>
      </c>
      <c r="I105" s="29" t="s">
        <v>325</v>
      </c>
      <c r="J105" s="29" t="s">
        <v>294</v>
      </c>
      <c r="K105" s="29" t="s">
        <v>326</v>
      </c>
      <c r="L105" s="29" t="s">
        <v>294</v>
      </c>
      <c r="M105" s="29" t="s">
        <v>296</v>
      </c>
      <c r="N105" s="140"/>
    </row>
    <row r="106" spans="2:14" ht="16.5" customHeight="1" outlineLevel="2">
      <c r="B106" s="26"/>
      <c r="C106" s="40"/>
      <c r="D106" s="40"/>
      <c r="E106" s="40"/>
      <c r="F106" s="40"/>
      <c r="G106" s="40"/>
      <c r="H106" s="40"/>
      <c r="I106" s="27"/>
      <c r="J106" s="27"/>
      <c r="K106" s="248"/>
      <c r="L106" s="27"/>
      <c r="M106" s="40">
        <f t="shared" ref="M106:M114" si="10">+C106+E106+G106+I106+K106</f>
        <v>0</v>
      </c>
    </row>
    <row r="107" spans="2:14" ht="16.5" customHeight="1" outlineLevel="2">
      <c r="B107" s="26"/>
      <c r="C107" s="40"/>
      <c r="D107" s="40"/>
      <c r="E107" s="40"/>
      <c r="F107" s="40"/>
      <c r="G107" s="40"/>
      <c r="H107" s="40"/>
      <c r="I107" s="27"/>
      <c r="J107" s="27"/>
      <c r="K107" s="248"/>
      <c r="L107" s="27"/>
      <c r="M107" s="40">
        <f t="shared" si="10"/>
        <v>0</v>
      </c>
    </row>
    <row r="108" spans="2:14" ht="16.5" customHeight="1" outlineLevel="2">
      <c r="B108" s="26"/>
      <c r="C108" s="40"/>
      <c r="D108" s="40"/>
      <c r="E108" s="40"/>
      <c r="F108" s="40"/>
      <c r="G108" s="40"/>
      <c r="H108" s="40"/>
      <c r="I108" s="27"/>
      <c r="J108" s="27"/>
      <c r="K108" s="248"/>
      <c r="L108" s="27"/>
      <c r="M108" s="40">
        <f t="shared" si="10"/>
        <v>0</v>
      </c>
    </row>
    <row r="109" spans="2:14" ht="16.5" customHeight="1" outlineLevel="2">
      <c r="B109" s="26"/>
      <c r="C109" s="40"/>
      <c r="D109" s="40"/>
      <c r="E109" s="40"/>
      <c r="F109" s="40"/>
      <c r="G109" s="40"/>
      <c r="H109" s="40"/>
      <c r="I109" s="27"/>
      <c r="J109" s="27"/>
      <c r="K109" s="248"/>
      <c r="L109" s="27"/>
      <c r="M109" s="40">
        <f t="shared" si="10"/>
        <v>0</v>
      </c>
    </row>
    <row r="110" spans="2:14" ht="16.5" customHeight="1" outlineLevel="2">
      <c r="B110" s="26"/>
      <c r="C110" s="40"/>
      <c r="D110" s="40"/>
      <c r="E110" s="40"/>
      <c r="F110" s="40"/>
      <c r="G110" s="40"/>
      <c r="H110" s="40"/>
      <c r="I110" s="27"/>
      <c r="J110" s="27"/>
      <c r="K110" s="248"/>
      <c r="L110" s="27"/>
      <c r="M110" s="40">
        <f t="shared" si="10"/>
        <v>0</v>
      </c>
    </row>
    <row r="111" spans="2:14" ht="16.5" customHeight="1" outlineLevel="2">
      <c r="B111" s="26"/>
      <c r="C111" s="40"/>
      <c r="D111" s="40"/>
      <c r="E111" s="40"/>
      <c r="F111" s="40"/>
      <c r="G111" s="40"/>
      <c r="H111" s="40"/>
      <c r="I111" s="27"/>
      <c r="J111" s="27"/>
      <c r="K111" s="248"/>
      <c r="L111" s="27"/>
      <c r="M111" s="40">
        <f t="shared" si="10"/>
        <v>0</v>
      </c>
    </row>
    <row r="112" spans="2:14" ht="16.5" customHeight="1" outlineLevel="2">
      <c r="B112" s="26"/>
      <c r="C112" s="40"/>
      <c r="D112" s="40"/>
      <c r="E112" s="40"/>
      <c r="F112" s="40"/>
      <c r="G112" s="40"/>
      <c r="H112" s="40"/>
      <c r="I112" s="27"/>
      <c r="J112" s="27"/>
      <c r="K112" s="248"/>
      <c r="L112" s="27"/>
      <c r="M112" s="40">
        <f t="shared" si="10"/>
        <v>0</v>
      </c>
    </row>
    <row r="113" spans="1:14" ht="16.5" customHeight="1" outlineLevel="2">
      <c r="B113" s="26"/>
      <c r="C113" s="40"/>
      <c r="D113" s="40"/>
      <c r="E113" s="40"/>
      <c r="F113" s="40"/>
      <c r="G113" s="40"/>
      <c r="H113" s="40"/>
      <c r="I113" s="27"/>
      <c r="J113" s="27"/>
      <c r="K113" s="248"/>
      <c r="L113" s="27"/>
      <c r="M113" s="40">
        <f t="shared" si="10"/>
        <v>0</v>
      </c>
    </row>
    <row r="114" spans="1:14" ht="16.5" customHeight="1" outlineLevel="2">
      <c r="B114" s="26"/>
      <c r="C114" s="40"/>
      <c r="D114" s="40"/>
      <c r="E114" s="40"/>
      <c r="F114" s="40"/>
      <c r="G114" s="40"/>
      <c r="H114" s="40"/>
      <c r="I114" s="27"/>
      <c r="J114" s="27"/>
      <c r="K114" s="42"/>
      <c r="L114" s="27"/>
      <c r="M114" s="40">
        <f t="shared" si="10"/>
        <v>0</v>
      </c>
    </row>
    <row r="115" spans="1:14" ht="16.5" customHeight="1" outlineLevel="2">
      <c r="B115" s="356" t="s">
        <v>358</v>
      </c>
      <c r="C115" s="355">
        <f>SUM(C106:C114)</f>
        <v>0</v>
      </c>
      <c r="D115" s="355"/>
      <c r="E115" s="355">
        <f>SUM(E106:E114)</f>
        <v>0</v>
      </c>
      <c r="F115" s="355"/>
      <c r="G115" s="355">
        <f>SUM(G106:G114)</f>
        <v>0</v>
      </c>
      <c r="H115" s="355"/>
      <c r="I115" s="355">
        <f>SUM(I106:I114)</f>
        <v>0</v>
      </c>
      <c r="J115" s="355"/>
      <c r="K115" s="355">
        <f>SUM(K106:K114)</f>
        <v>0</v>
      </c>
      <c r="L115" s="355"/>
      <c r="M115" s="355">
        <f>SUM(M106:M114)</f>
        <v>0</v>
      </c>
      <c r="N115" s="25"/>
    </row>
    <row r="116" spans="1:14" ht="9" customHeight="1" outlineLevel="1"/>
    <row r="117" spans="1:14" s="25" customFormat="1" ht="11.25" hidden="1" outlineLevel="2">
      <c r="B117" s="28" t="s">
        <v>359</v>
      </c>
      <c r="C117" s="29" t="s">
        <v>322</v>
      </c>
      <c r="D117" s="29" t="s">
        <v>294</v>
      </c>
      <c r="E117" s="29" t="s">
        <v>323</v>
      </c>
      <c r="F117" s="29" t="s">
        <v>294</v>
      </c>
      <c r="G117" s="29" t="s">
        <v>324</v>
      </c>
      <c r="H117" s="29" t="s">
        <v>294</v>
      </c>
      <c r="I117" s="29" t="s">
        <v>325</v>
      </c>
      <c r="J117" s="29" t="s">
        <v>294</v>
      </c>
      <c r="K117" s="29" t="s">
        <v>326</v>
      </c>
      <c r="L117" s="29" t="s">
        <v>294</v>
      </c>
      <c r="M117" s="29" t="s">
        <v>296</v>
      </c>
    </row>
    <row r="118" spans="1:14" ht="16.5" hidden="1" customHeight="1" outlineLevel="2">
      <c r="B118" s="26" t="s">
        <v>360</v>
      </c>
      <c r="C118" s="40"/>
      <c r="D118" s="155"/>
      <c r="E118" s="40"/>
      <c r="F118" s="155"/>
      <c r="G118" s="40"/>
      <c r="H118" s="155"/>
      <c r="I118" s="27"/>
      <c r="J118" s="155"/>
      <c r="K118" s="27"/>
      <c r="L118" s="155"/>
      <c r="M118" s="40">
        <f t="shared" ref="M118:M120" si="11">+C118+E118+G118+I118+K118</f>
        <v>0</v>
      </c>
    </row>
    <row r="119" spans="1:14" ht="16.5" hidden="1" customHeight="1" outlineLevel="2">
      <c r="B119" s="26" t="s">
        <v>361</v>
      </c>
      <c r="C119" s="40"/>
      <c r="D119" s="155"/>
      <c r="E119" s="40"/>
      <c r="F119" s="155"/>
      <c r="G119" s="40"/>
      <c r="H119" s="155"/>
      <c r="I119" s="27"/>
      <c r="J119" s="155"/>
      <c r="K119" s="27"/>
      <c r="L119" s="155"/>
      <c r="M119" s="40">
        <f t="shared" si="11"/>
        <v>0</v>
      </c>
    </row>
    <row r="120" spans="1:14" ht="16.5" hidden="1" customHeight="1" outlineLevel="2">
      <c r="B120" s="26" t="s">
        <v>362</v>
      </c>
      <c r="C120" s="40"/>
      <c r="D120" s="155"/>
      <c r="E120" s="40"/>
      <c r="F120" s="155"/>
      <c r="G120" s="40"/>
      <c r="H120" s="155"/>
      <c r="I120" s="27"/>
      <c r="J120" s="155"/>
      <c r="K120" s="27"/>
      <c r="L120" s="155"/>
      <c r="M120" s="40">
        <f t="shared" si="11"/>
        <v>0</v>
      </c>
    </row>
    <row r="121" spans="1:14" ht="16.5" hidden="1" customHeight="1" outlineLevel="2">
      <c r="B121" s="356" t="s">
        <v>363</v>
      </c>
      <c r="C121" s="355">
        <f>SUM(C118:C120)</f>
        <v>0</v>
      </c>
      <c r="D121" s="355"/>
      <c r="E121" s="355">
        <f>SUM(E118:E120)</f>
        <v>0</v>
      </c>
      <c r="F121" s="355"/>
      <c r="G121" s="355">
        <f>SUM(G118:G120)</f>
        <v>0</v>
      </c>
      <c r="H121" s="355"/>
      <c r="I121" s="355">
        <f>SUM(I118:I120)</f>
        <v>0</v>
      </c>
      <c r="J121" s="355"/>
      <c r="K121" s="355">
        <f>SUM(K118:K120)</f>
        <v>0</v>
      </c>
      <c r="L121" s="355"/>
      <c r="M121" s="355">
        <f>SUM(M118:M120)</f>
        <v>0</v>
      </c>
    </row>
    <row r="122" spans="1:14" ht="9" customHeight="1" outlineLevel="1" collapsed="1"/>
    <row r="123" spans="1:14" ht="7.5" customHeight="1" outlineLevel="1">
      <c r="A123" s="31"/>
      <c r="B123" s="31"/>
      <c r="C123" s="31"/>
      <c r="D123" s="31"/>
      <c r="E123" s="31"/>
      <c r="F123" s="31"/>
      <c r="G123" s="32"/>
      <c r="H123" s="32"/>
      <c r="I123" s="33"/>
      <c r="J123" s="33"/>
      <c r="K123" s="33"/>
      <c r="L123" s="33"/>
      <c r="M123" s="31"/>
      <c r="N123" s="31"/>
    </row>
    <row r="126" spans="1:14">
      <c r="M126" s="162">
        <f>+M11+M24+I33+I46+K46+M70+M78+M87+M115</f>
        <v>0</v>
      </c>
    </row>
    <row r="127" spans="1:14">
      <c r="G127" s="238"/>
    </row>
  </sheetData>
  <mergeCells count="12">
    <mergeCell ref="C30:D30"/>
    <mergeCell ref="C31:D31"/>
    <mergeCell ref="C32:D32"/>
    <mergeCell ref="E30:F30"/>
    <mergeCell ref="G30:H30"/>
    <mergeCell ref="E31:F31"/>
    <mergeCell ref="G31:H31"/>
    <mergeCell ref="C33:D33"/>
    <mergeCell ref="E33:F33"/>
    <mergeCell ref="G33:H33"/>
    <mergeCell ref="E32:F32"/>
    <mergeCell ref="G32:H32"/>
  </mergeCells>
  <phoneticPr fontId="0" type="noConversion"/>
  <pageMargins left="0.74803149606299213" right="0.74803149606299213" top="0.47244094488188981" bottom="0.70866141732283472" header="0.51181102362204722" footer="0.51181102362204722"/>
  <pageSetup paperSize="9" scale="44" fitToHeight="2" orientation="portrait" r:id="rId1"/>
  <headerFooter alignWithMargins="0">
    <oddFooter>Página 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D8046C66C1E64DB17EC6D5A539720C" ma:contentTypeVersion="8" ma:contentTypeDescription="Crear nuevo documento." ma:contentTypeScope="" ma:versionID="f6844af0dc42027a499188227119f818">
  <xsd:schema xmlns:xsd="http://www.w3.org/2001/XMLSchema" xmlns:xs="http://www.w3.org/2001/XMLSchema" xmlns:p="http://schemas.microsoft.com/office/2006/metadata/properties" xmlns:ns2="9f03ee24-a443-4c38-8ec5-94f4a526b9f0" xmlns:ns3="8cc3aa94-24db-48e5-90d5-4c9a4a524f44" targetNamespace="http://schemas.microsoft.com/office/2006/metadata/properties" ma:root="true" ma:fieldsID="919c524d8d806122f890d81255746b1f" ns2:_="" ns3:_="">
    <xsd:import namespace="9f03ee24-a443-4c38-8ec5-94f4a526b9f0"/>
    <xsd:import namespace="8cc3aa94-24db-48e5-90d5-4c9a4a524f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3ee24-a443-4c38-8ec5-94f4a526b9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c3aa94-24db-48e5-90d5-4c9a4a524f4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7A98C3-84C0-4EC9-A6A1-10C0C9272A21}"/>
</file>

<file path=customXml/itemProps2.xml><?xml version="1.0" encoding="utf-8"?>
<ds:datastoreItem xmlns:ds="http://schemas.openxmlformats.org/officeDocument/2006/customXml" ds:itemID="{75F09DE6-D91B-445B-90DC-125D247348E2}"/>
</file>

<file path=customXml/itemProps3.xml><?xml version="1.0" encoding="utf-8"?>
<ds:datastoreItem xmlns:ds="http://schemas.openxmlformats.org/officeDocument/2006/customXml" ds:itemID="{5905AB4D-B39F-455C-B59B-8A7981D05F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Lolo</dc:creator>
  <cp:keywords/>
  <dc:description/>
  <cp:lastModifiedBy>Pedro Del Río</cp:lastModifiedBy>
  <cp:revision/>
  <dcterms:created xsi:type="dcterms:W3CDTF">1999-03-07T11:31:47Z</dcterms:created>
  <dcterms:modified xsi:type="dcterms:W3CDTF">2022-05-09T11:40:58Z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0x0101005BD8046C66C1E64DB17EC6D5A539720C</vt:lpwstr>
  </property>
</Properties>
</file>